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U:\USO CORRENTE\DOCUMENTI 2025\Indicatori da fare 2025\Indice trofico TRIX mare 2024 da fare\TRIX aggiornamento al 2024_da finire\"/>
    </mc:Choice>
  </mc:AlternateContent>
  <xr:revisionPtr revIDLastSave="0" documentId="13_ncr:1_{293E4C7E-3DD7-4B61-BD1F-6796329C0725}" xr6:coauthVersionLast="36" xr6:coauthVersionMax="36" xr10:uidLastSave="{00000000-0000-0000-0000-000000000000}"/>
  <bookViews>
    <workbookView xWindow="0" yWindow="0" windowWidth="28800" windowHeight="12225" tabRatio="721" firstSheet="12" activeTab="27" xr2:uid="{00000000-000D-0000-FFFF-FFFF00000000}"/>
  </bookViews>
  <sheets>
    <sheet name="1997" sheetId="9" r:id="rId1"/>
    <sheet name="1998" sheetId="3" r:id="rId2"/>
    <sheet name="1999" sheetId="1" r:id="rId3"/>
    <sheet name="2000" sheetId="2" r:id="rId4"/>
    <sheet name="2001" sheetId="8" r:id="rId5"/>
    <sheet name="2002" sheetId="7" r:id="rId6"/>
    <sheet name="2003" sheetId="6" r:id="rId7"/>
    <sheet name="2004" sheetId="5" r:id="rId8"/>
    <sheet name="2005" sheetId="4" r:id="rId9"/>
    <sheet name="2006" sheetId="10" r:id="rId10"/>
    <sheet name="2007" sheetId="11" r:id="rId11"/>
    <sheet name="2008" sheetId="12" r:id="rId12"/>
    <sheet name="2009" sheetId="13" r:id="rId13"/>
    <sheet name="2010" sheetId="14" r:id="rId14"/>
    <sheet name="2011" sheetId="16" r:id="rId15"/>
    <sheet name="2012" sheetId="17" r:id="rId16"/>
    <sheet name="2013" sheetId="19" r:id="rId17"/>
    <sheet name="2014" sheetId="20" r:id="rId18"/>
    <sheet name="2015" sheetId="21" r:id="rId19"/>
    <sheet name="2016" sheetId="22" r:id="rId20"/>
    <sheet name="2017" sheetId="23" r:id="rId21"/>
    <sheet name="2018" sheetId="24" r:id="rId22"/>
    <sheet name="2019" sheetId="25" r:id="rId23"/>
    <sheet name="2020" sheetId="26" r:id="rId24"/>
    <sheet name="2021" sheetId="27" r:id="rId25"/>
    <sheet name="2022" sheetId="28" r:id="rId26"/>
    <sheet name="2023" sheetId="29" r:id="rId27"/>
    <sheet name="2024" sheetId="30" r:id="rId28"/>
    <sheet name="NOTE" sheetId="15" r:id="rId29"/>
    <sheet name="tabella descrizione corpi idric" sheetId="18" r:id="rId30"/>
  </sheets>
  <definedNames>
    <definedName name="_xlnm._FilterDatabase" localSheetId="17" hidden="1">'2014'!$I$1:$Q$39</definedName>
    <definedName name="_xlnm._FilterDatabase" localSheetId="18" hidden="1">'2015'!$I$1:$Q$53</definedName>
    <definedName name="_xlnm._FilterDatabase" localSheetId="19" hidden="1">'2016'!$I$1:$O$53</definedName>
    <definedName name="_xlnm._FilterDatabase" localSheetId="20" hidden="1">'2017'!$I$1:$O$40</definedName>
    <definedName name="_xlnm._FilterDatabase" localSheetId="21" hidden="1">'2018'!$P$1:$P$40</definedName>
    <definedName name="_xlnm._FilterDatabase" localSheetId="22" hidden="1">'2019'!$P$1:$P$40</definedName>
    <definedName name="_xlnm._FilterDatabase" localSheetId="23" hidden="1">'2020'!$P$1:$P$40</definedName>
    <definedName name="_xlnm._FilterDatabase" localSheetId="24" hidden="1">'2021'!$P$2:$R$31</definedName>
    <definedName name="_xlnm._FilterDatabase" localSheetId="25" hidden="1">'2022'!$I$1:$O$40</definedName>
    <definedName name="_xlnm._FilterDatabase" localSheetId="26" hidden="1">'2023'!$I$1:$N$40</definedName>
    <definedName name="_xlnm._FilterDatabase" localSheetId="27" hidden="1">'2024'!$I$1:$O$40</definedName>
  </definedNames>
  <calcPr calcId="191029"/>
</workbook>
</file>

<file path=xl/calcChain.xml><?xml version="1.0" encoding="utf-8"?>
<calcChain xmlns="http://schemas.openxmlformats.org/spreadsheetml/2006/main">
  <c r="V21" i="30" l="1"/>
  <c r="V18" i="30"/>
  <c r="V12" i="30"/>
  <c r="V3" i="30"/>
  <c r="U3" i="30"/>
  <c r="U6" i="30"/>
  <c r="U9" i="30"/>
  <c r="U12" i="30"/>
  <c r="U15" i="30"/>
  <c r="U18" i="30"/>
  <c r="U21" i="30"/>
  <c r="U24" i="30"/>
  <c r="U27" i="30"/>
  <c r="V31" i="30"/>
  <c r="U31" i="30"/>
  <c r="V30" i="30"/>
  <c r="U30" i="30"/>
  <c r="T31" i="30"/>
  <c r="T30" i="30"/>
  <c r="T29" i="30"/>
  <c r="T28" i="30"/>
  <c r="T27" i="30"/>
  <c r="T26" i="30"/>
  <c r="T24" i="30"/>
  <c r="T23" i="30"/>
  <c r="T22" i="30"/>
  <c r="T21" i="30"/>
  <c r="T25" i="30"/>
  <c r="T19" i="30"/>
  <c r="T20" i="30"/>
  <c r="T18" i="30"/>
  <c r="T17" i="30"/>
  <c r="T16" i="30"/>
  <c r="T15" i="30"/>
  <c r="T14" i="30"/>
  <c r="T13" i="30"/>
  <c r="T12" i="30"/>
  <c r="T11" i="30"/>
  <c r="T10" i="30"/>
  <c r="T9" i="30"/>
  <c r="T8" i="30"/>
  <c r="T7" i="30"/>
  <c r="T5" i="30"/>
  <c r="T6" i="30"/>
  <c r="R21" i="30"/>
  <c r="R18" i="30"/>
  <c r="R12" i="30"/>
  <c r="R3" i="30"/>
  <c r="Q6" i="30"/>
  <c r="Q9" i="30"/>
  <c r="Q12" i="30"/>
  <c r="Q15" i="30"/>
  <c r="Q18" i="30"/>
  <c r="Q21" i="30"/>
  <c r="Q24" i="30"/>
  <c r="Q27" i="30"/>
  <c r="Q3" i="30"/>
  <c r="T4" i="30"/>
  <c r="T3" i="30"/>
  <c r="U21" i="29" l="1"/>
  <c r="T27" i="29"/>
  <c r="S29" i="29"/>
  <c r="S28" i="29"/>
  <c r="S27" i="29"/>
  <c r="T24" i="29"/>
  <c r="S26" i="29"/>
  <c r="S25" i="29"/>
  <c r="T21" i="29"/>
  <c r="S24" i="29"/>
  <c r="S23" i="29"/>
  <c r="S22" i="29"/>
  <c r="S21" i="29"/>
  <c r="S20" i="29"/>
  <c r="S19" i="29"/>
  <c r="S18" i="29"/>
  <c r="S17" i="29"/>
  <c r="S16" i="29"/>
  <c r="S14" i="29"/>
  <c r="S12" i="29"/>
  <c r="U18" i="29"/>
  <c r="T18" i="29"/>
  <c r="U12" i="29"/>
  <c r="T15" i="29"/>
  <c r="T12" i="29"/>
  <c r="U3" i="29"/>
  <c r="T9" i="29"/>
  <c r="T6" i="29"/>
  <c r="T3" i="29"/>
  <c r="S10" i="29"/>
  <c r="S9" i="29"/>
  <c r="S8" i="29"/>
  <c r="S7" i="29"/>
  <c r="S6" i="29"/>
  <c r="S15" i="29"/>
  <c r="S13" i="29"/>
  <c r="S11" i="29"/>
  <c r="S5" i="29"/>
  <c r="S4" i="29"/>
  <c r="S3" i="29"/>
  <c r="Q3" i="29"/>
  <c r="Q12" i="29"/>
  <c r="Q18" i="29"/>
  <c r="Q21" i="29"/>
  <c r="U30" i="29"/>
  <c r="T30" i="29"/>
  <c r="S30" i="29"/>
  <c r="U31" i="29"/>
  <c r="T31" i="29"/>
  <c r="S31" i="29"/>
  <c r="V21" i="28" l="1"/>
  <c r="U27" i="28"/>
  <c r="U24" i="28"/>
  <c r="U21" i="28"/>
  <c r="V18" i="28"/>
  <c r="U18" i="28"/>
  <c r="T17" i="28"/>
  <c r="V3" i="28"/>
  <c r="U6" i="28"/>
  <c r="U9" i="28"/>
  <c r="V31" i="28"/>
  <c r="U31" i="28"/>
  <c r="V30" i="28"/>
  <c r="U30" i="28"/>
  <c r="T30" i="28"/>
  <c r="T31" i="28"/>
  <c r="T29" i="28"/>
  <c r="T28" i="28"/>
  <c r="T26" i="28"/>
  <c r="T25" i="28"/>
  <c r="T24" i="28"/>
  <c r="T23" i="28"/>
  <c r="T21" i="28"/>
  <c r="T20" i="28"/>
  <c r="T19" i="28"/>
  <c r="T18" i="28"/>
  <c r="T15" i="28"/>
  <c r="T11" i="28"/>
  <c r="T9" i="28"/>
  <c r="T8" i="28"/>
  <c r="T7" i="28"/>
  <c r="T6" i="28"/>
  <c r="T27" i="28"/>
  <c r="T22" i="28"/>
  <c r="T16" i="28"/>
  <c r="U15" i="28"/>
  <c r="T14" i="28"/>
  <c r="T13" i="28"/>
  <c r="V12" i="28"/>
  <c r="U12" i="28"/>
  <c r="T12" i="28"/>
  <c r="T10" i="28"/>
  <c r="T5" i="28"/>
  <c r="T4" i="28"/>
  <c r="U3" i="28"/>
  <c r="T3" i="28"/>
  <c r="V30" i="27"/>
  <c r="V21" i="27"/>
  <c r="V18" i="27"/>
  <c r="V12" i="27"/>
  <c r="V3" i="27"/>
  <c r="U3" i="27"/>
  <c r="U6" i="27"/>
  <c r="U9" i="27"/>
  <c r="U12" i="27"/>
  <c r="U15" i="27"/>
  <c r="U18" i="27"/>
  <c r="U21" i="27"/>
  <c r="U24" i="27"/>
  <c r="U27" i="27"/>
  <c r="U30" i="27"/>
  <c r="T30" i="27"/>
  <c r="T29" i="27"/>
  <c r="T28" i="27"/>
  <c r="T27" i="27"/>
  <c r="T26" i="27"/>
  <c r="T25" i="27"/>
  <c r="T23" i="27"/>
  <c r="T22" i="27"/>
  <c r="T21" i="27"/>
  <c r="T20" i="27"/>
  <c r="T19" i="27"/>
  <c r="T18" i="27"/>
  <c r="T17" i="27"/>
  <c r="T16" i="27"/>
  <c r="T15" i="27"/>
  <c r="T14" i="27"/>
  <c r="T13" i="27"/>
  <c r="T12" i="27"/>
  <c r="T11" i="27"/>
  <c r="T10" i="27"/>
  <c r="T9" i="27"/>
  <c r="T8" i="27"/>
  <c r="T7" i="27"/>
  <c r="T6" i="27"/>
  <c r="T5" i="27"/>
  <c r="T4" i="27"/>
  <c r="T3" i="27"/>
  <c r="V31" i="27"/>
  <c r="U31" i="27"/>
  <c r="T31" i="27"/>
  <c r="T24" i="27"/>
  <c r="V21" i="26"/>
  <c r="V18" i="26"/>
  <c r="V12" i="26"/>
  <c r="V3" i="26"/>
  <c r="U3" i="26"/>
  <c r="U6" i="26"/>
  <c r="U12" i="26"/>
  <c r="U15" i="26"/>
  <c r="U18" i="26"/>
  <c r="U21" i="26"/>
  <c r="U24" i="26"/>
  <c r="U27" i="26"/>
  <c r="U9" i="26"/>
  <c r="T30" i="26"/>
  <c r="T29" i="26"/>
  <c r="T28" i="26"/>
  <c r="T27" i="26"/>
  <c r="T26" i="26"/>
  <c r="T25" i="26"/>
  <c r="T23" i="26"/>
  <c r="T22" i="26"/>
  <c r="T21" i="26"/>
  <c r="T20" i="26"/>
  <c r="T19" i="26"/>
  <c r="T17" i="26"/>
  <c r="T16" i="26"/>
  <c r="T15" i="26"/>
  <c r="T14" i="26"/>
  <c r="T13" i="26"/>
  <c r="T11" i="26"/>
  <c r="T10" i="26"/>
  <c r="T8" i="26"/>
  <c r="T7" i="26"/>
  <c r="T6" i="26"/>
  <c r="T5" i="26"/>
  <c r="T3" i="26"/>
  <c r="T4" i="26"/>
  <c r="V31" i="26"/>
  <c r="U31" i="26"/>
  <c r="T31" i="26"/>
  <c r="V30" i="26"/>
  <c r="U30" i="26"/>
  <c r="T24" i="26"/>
  <c r="T18" i="26"/>
  <c r="T12" i="26"/>
  <c r="T9" i="26"/>
  <c r="T6" i="25"/>
  <c r="V3" i="25"/>
  <c r="U3" i="25"/>
  <c r="V12" i="25"/>
  <c r="V18" i="25"/>
  <c r="V24" i="25"/>
  <c r="V31" i="25"/>
  <c r="U31" i="25"/>
  <c r="U30" i="25"/>
  <c r="U27" i="25"/>
  <c r="U24" i="25"/>
  <c r="U21" i="25"/>
  <c r="U18" i="25"/>
  <c r="U12" i="25"/>
  <c r="U9" i="25"/>
  <c r="U6" i="25"/>
  <c r="T31" i="25"/>
  <c r="T29" i="25"/>
  <c r="T28" i="25"/>
  <c r="T26" i="25"/>
  <c r="T25" i="25"/>
  <c r="T24" i="25"/>
  <c r="T23" i="25"/>
  <c r="T22" i="25"/>
  <c r="T21" i="25"/>
  <c r="T20" i="25"/>
  <c r="T19" i="25"/>
  <c r="T18" i="25"/>
  <c r="T17" i="25"/>
  <c r="T15" i="25"/>
  <c r="T14" i="25"/>
  <c r="T13" i="25"/>
  <c r="T12" i="25"/>
  <c r="T11" i="25"/>
  <c r="T10" i="25"/>
  <c r="T9" i="25"/>
  <c r="T8" i="25"/>
  <c r="T7" i="25"/>
  <c r="T5" i="25"/>
  <c r="T4" i="25"/>
  <c r="T3" i="25"/>
  <c r="V30" i="25"/>
  <c r="T30" i="25"/>
  <c r="T27" i="25"/>
  <c r="T16" i="25"/>
  <c r="U15" i="25"/>
  <c r="V31" i="24"/>
  <c r="V30" i="24"/>
  <c r="V24" i="24"/>
  <c r="V18" i="24"/>
  <c r="V12" i="24"/>
  <c r="V3" i="24"/>
  <c r="U3" i="24"/>
  <c r="U6" i="24"/>
  <c r="U9" i="24"/>
  <c r="U12" i="24"/>
  <c r="U15" i="24"/>
  <c r="U18" i="24"/>
  <c r="U21" i="24"/>
  <c r="U24" i="24"/>
  <c r="U27" i="24"/>
  <c r="U31" i="24"/>
  <c r="U30" i="24"/>
  <c r="T30" i="24"/>
  <c r="T31" i="24"/>
  <c r="T29" i="24"/>
  <c r="T28" i="24"/>
  <c r="T27" i="24"/>
  <c r="T26" i="24"/>
  <c r="T25" i="24"/>
  <c r="T24" i="24"/>
  <c r="T23" i="24"/>
  <c r="T22" i="24"/>
  <c r="T21" i="24"/>
  <c r="T20" i="24"/>
  <c r="T19" i="24"/>
  <c r="T18" i="24"/>
  <c r="T17" i="24"/>
  <c r="T16" i="24"/>
  <c r="T15" i="24"/>
  <c r="T14" i="24"/>
  <c r="T13" i="24"/>
  <c r="T10" i="24"/>
  <c r="T9" i="24"/>
  <c r="T8" i="24"/>
  <c r="T7" i="24"/>
  <c r="T4" i="24"/>
  <c r="T12" i="24"/>
  <c r="T11" i="24"/>
  <c r="T6" i="24"/>
  <c r="T5" i="24"/>
  <c r="T3" i="24"/>
  <c r="U3" i="23"/>
  <c r="T3" i="23"/>
  <c r="V24" i="23"/>
  <c r="V18" i="23"/>
  <c r="V12" i="23"/>
  <c r="V3" i="23"/>
  <c r="U31" i="23"/>
  <c r="U30" i="23"/>
  <c r="T30" i="23"/>
  <c r="T31" i="23"/>
  <c r="U27" i="23"/>
  <c r="U24" i="23"/>
  <c r="U21" i="23"/>
  <c r="U18" i="23"/>
  <c r="U15" i="23"/>
  <c r="U12" i="23"/>
  <c r="U9" i="23"/>
  <c r="U6" i="23"/>
  <c r="T4" i="23"/>
  <c r="T29" i="23"/>
  <c r="T28" i="23"/>
  <c r="T27" i="23"/>
  <c r="T25" i="23"/>
  <c r="T24" i="23"/>
  <c r="T23" i="23"/>
  <c r="T22" i="23"/>
  <c r="T21" i="23"/>
  <c r="T20" i="23"/>
  <c r="T19" i="23"/>
  <c r="T18" i="23"/>
  <c r="T17" i="23"/>
  <c r="T16" i="23"/>
  <c r="T15" i="23"/>
  <c r="T14" i="23"/>
  <c r="T13" i="23"/>
  <c r="T12" i="23"/>
  <c r="T11" i="23"/>
  <c r="T10" i="23"/>
  <c r="T9" i="23"/>
  <c r="T8" i="23"/>
  <c r="T6" i="23"/>
  <c r="T5" i="23"/>
  <c r="T7" i="23"/>
  <c r="T26" i="23"/>
  <c r="V31" i="23"/>
  <c r="V30" i="23"/>
  <c r="V24" i="22"/>
  <c r="V31" i="22"/>
  <c r="U31" i="22"/>
  <c r="V30" i="22"/>
  <c r="U30" i="22"/>
  <c r="T31" i="22"/>
  <c r="T30" i="22"/>
  <c r="U27" i="22"/>
  <c r="T29" i="22"/>
  <c r="T28" i="22"/>
  <c r="T27" i="22"/>
  <c r="U24" i="22"/>
  <c r="T26" i="22"/>
  <c r="T25" i="22"/>
  <c r="T24" i="22"/>
  <c r="V18" i="22"/>
  <c r="U21" i="22"/>
  <c r="T23" i="22"/>
  <c r="T22" i="22"/>
  <c r="T21" i="22"/>
  <c r="U18" i="22"/>
  <c r="T20" i="22"/>
  <c r="T19" i="22"/>
  <c r="U15" i="22"/>
  <c r="U9" i="22"/>
  <c r="U6" i="22"/>
  <c r="U3" i="22"/>
  <c r="V12" i="22"/>
  <c r="T17" i="22"/>
  <c r="T16" i="22"/>
  <c r="T15" i="22"/>
  <c r="T14" i="22"/>
  <c r="T13" i="22"/>
  <c r="T12" i="22"/>
  <c r="V3" i="22"/>
  <c r="T11" i="22"/>
  <c r="T8" i="22"/>
  <c r="T7" i="22"/>
  <c r="T6" i="22"/>
  <c r="T5" i="22"/>
  <c r="T4" i="22"/>
  <c r="T3" i="22"/>
  <c r="T18" i="22"/>
  <c r="T10" i="22"/>
  <c r="T9" i="22"/>
  <c r="U12" i="22"/>
  <c r="X3" i="21"/>
  <c r="X12" i="21"/>
  <c r="X18" i="21"/>
  <c r="X24" i="21"/>
  <c r="X31" i="21"/>
  <c r="X30" i="21"/>
  <c r="W31" i="21"/>
  <c r="W30" i="21"/>
  <c r="W27" i="21"/>
  <c r="W24" i="21"/>
  <c r="W21" i="21"/>
  <c r="W18" i="21"/>
  <c r="W15" i="21"/>
  <c r="W12" i="21"/>
  <c r="W9" i="21"/>
  <c r="W6" i="21"/>
  <c r="W3" i="21"/>
  <c r="V31" i="21"/>
  <c r="V30" i="21"/>
  <c r="V29" i="21"/>
  <c r="V27" i="21"/>
  <c r="V26" i="21"/>
  <c r="V25" i="21"/>
  <c r="V24" i="21"/>
  <c r="V23" i="21"/>
  <c r="V22" i="21"/>
  <c r="V21" i="21"/>
  <c r="V20" i="21"/>
  <c r="V19" i="21"/>
  <c r="V18" i="21"/>
  <c r="V17" i="21"/>
  <c r="V16" i="21"/>
  <c r="V15" i="21"/>
  <c r="V14" i="21"/>
  <c r="V13" i="21"/>
  <c r="V12" i="21"/>
  <c r="V11" i="21"/>
  <c r="V10" i="21"/>
  <c r="V9" i="21"/>
  <c r="V8" i="21"/>
  <c r="V7" i="21"/>
  <c r="V6" i="21"/>
  <c r="V4" i="21"/>
  <c r="V3" i="21"/>
  <c r="V28" i="21"/>
  <c r="V5" i="21"/>
  <c r="X3" i="20"/>
  <c r="W3" i="20"/>
  <c r="W6" i="20"/>
  <c r="X12" i="20"/>
  <c r="X18" i="20"/>
  <c r="X24" i="20"/>
  <c r="X31" i="20"/>
  <c r="X30" i="20"/>
  <c r="W31" i="20"/>
  <c r="W30" i="20"/>
  <c r="W27" i="20"/>
  <c r="W24" i="20"/>
  <c r="W21" i="20"/>
  <c r="W18" i="20"/>
  <c r="W15" i="20"/>
  <c r="W12" i="20"/>
  <c r="W9" i="20"/>
  <c r="V31" i="20"/>
  <c r="V30" i="20"/>
  <c r="V29" i="20"/>
  <c r="V28" i="20"/>
  <c r="V27" i="20"/>
  <c r="V26" i="20"/>
  <c r="V25" i="20"/>
  <c r="V24" i="20"/>
  <c r="V23" i="20"/>
  <c r="V22" i="20"/>
  <c r="V21" i="20"/>
  <c r="V19" i="20"/>
  <c r="V17" i="20"/>
  <c r="V16" i="20"/>
  <c r="V15" i="20"/>
  <c r="V14" i="20"/>
  <c r="V13" i="20"/>
  <c r="V12" i="20"/>
  <c r="V11" i="20"/>
  <c r="V10" i="20"/>
  <c r="V9" i="20"/>
  <c r="V8" i="20"/>
  <c r="V7" i="20"/>
  <c r="V6" i="20"/>
  <c r="V5" i="20"/>
  <c r="V4" i="20"/>
  <c r="V3" i="20"/>
  <c r="V20" i="20"/>
  <c r="V18" i="20"/>
  <c r="V31" i="19"/>
  <c r="U31" i="19"/>
  <c r="V18" i="19"/>
  <c r="V24" i="19"/>
  <c r="U27" i="19"/>
  <c r="U24" i="19"/>
  <c r="U21" i="19"/>
  <c r="U18" i="19"/>
  <c r="V12" i="19"/>
  <c r="U15" i="19"/>
  <c r="U12" i="19"/>
  <c r="U9" i="19"/>
  <c r="U6" i="19"/>
  <c r="U3" i="19"/>
  <c r="V3" i="19"/>
  <c r="V30" i="19"/>
  <c r="U30" i="19"/>
  <c r="T31" i="19"/>
  <c r="T30" i="19"/>
  <c r="T29" i="19"/>
  <c r="T28" i="19"/>
  <c r="T27" i="19"/>
  <c r="T26" i="19"/>
  <c r="T25" i="19"/>
  <c r="T24" i="19"/>
  <c r="T23" i="19"/>
  <c r="T22" i="19"/>
  <c r="T21" i="19"/>
  <c r="T20" i="19"/>
  <c r="T19" i="19"/>
  <c r="T18" i="19"/>
  <c r="T17" i="19"/>
  <c r="T16" i="19"/>
  <c r="T15" i="19"/>
  <c r="T14" i="19"/>
  <c r="T13" i="19"/>
  <c r="T12" i="19"/>
  <c r="T11" i="19"/>
  <c r="T10" i="19"/>
  <c r="T9" i="19"/>
  <c r="T8" i="19"/>
  <c r="T7" i="19"/>
  <c r="T6" i="19"/>
  <c r="T5" i="19"/>
  <c r="T4" i="19"/>
  <c r="T3" i="19"/>
  <c r="V24" i="17"/>
  <c r="V18" i="17"/>
  <c r="V12" i="17"/>
  <c r="V3" i="17"/>
  <c r="U3" i="17"/>
  <c r="U27" i="17"/>
  <c r="U24" i="17"/>
  <c r="U21" i="17"/>
  <c r="U18" i="17"/>
  <c r="U15" i="17"/>
  <c r="U12" i="17"/>
  <c r="U9" i="17"/>
  <c r="U6" i="17"/>
  <c r="T4" i="17"/>
  <c r="V31" i="17"/>
  <c r="U31" i="17"/>
  <c r="V30" i="17"/>
  <c r="U30" i="17"/>
  <c r="T31" i="17"/>
  <c r="T30" i="17"/>
  <c r="T29" i="17"/>
  <c r="T28" i="17"/>
  <c r="T27" i="17"/>
  <c r="T26" i="17"/>
  <c r="T25" i="17"/>
  <c r="T24" i="17"/>
  <c r="T23" i="17"/>
  <c r="T22" i="17"/>
  <c r="T21" i="17"/>
  <c r="T18" i="17"/>
  <c r="T17" i="17"/>
  <c r="T16" i="17"/>
  <c r="T15" i="17"/>
  <c r="T14" i="17"/>
  <c r="T13" i="17"/>
  <c r="T12" i="17"/>
  <c r="T19" i="17"/>
  <c r="T20" i="17"/>
  <c r="T11" i="17"/>
  <c r="T10" i="17"/>
  <c r="T9" i="17"/>
  <c r="T7" i="17"/>
  <c r="T8" i="17"/>
  <c r="T6" i="17"/>
  <c r="T5" i="17"/>
  <c r="T3" i="17"/>
  <c r="Z24" i="14"/>
  <c r="Y27" i="14"/>
  <c r="Y24" i="14"/>
  <c r="X29" i="14"/>
  <c r="X28" i="14"/>
  <c r="X27" i="14"/>
  <c r="X25" i="14"/>
  <c r="X24" i="14"/>
  <c r="Z18" i="14"/>
  <c r="Y21" i="14"/>
  <c r="X23" i="14"/>
  <c r="X22" i="14"/>
  <c r="Y18" i="14"/>
  <c r="X20" i="14"/>
  <c r="X19" i="14"/>
  <c r="X18" i="14"/>
  <c r="Z12" i="14"/>
  <c r="Y15" i="14"/>
  <c r="X17" i="14"/>
  <c r="X16" i="14"/>
  <c r="X15" i="14"/>
  <c r="Y12" i="14"/>
  <c r="X14" i="14"/>
  <c r="X13" i="14"/>
  <c r="X12" i="14"/>
  <c r="Z3" i="14"/>
  <c r="Y9" i="14"/>
  <c r="X11" i="14"/>
  <c r="X10" i="14"/>
  <c r="X9" i="14"/>
  <c r="Y6" i="14"/>
  <c r="X8" i="14"/>
  <c r="X6" i="14"/>
  <c r="Y3" i="14"/>
  <c r="X5" i="14"/>
  <c r="X4" i="14"/>
  <c r="X3" i="14"/>
  <c r="X7" i="14"/>
  <c r="X21" i="14"/>
  <c r="X26" i="14"/>
  <c r="AD24" i="13"/>
  <c r="AD18" i="13"/>
  <c r="AC24" i="13"/>
  <c r="AC21" i="13"/>
  <c r="AC18" i="13"/>
  <c r="AB26" i="13"/>
  <c r="AB25" i="13"/>
  <c r="AB24" i="13"/>
  <c r="AB23" i="13"/>
  <c r="AB22" i="13"/>
  <c r="AB21" i="13"/>
  <c r="AB20" i="13"/>
  <c r="AB19" i="13"/>
  <c r="AB18" i="13"/>
  <c r="AD12" i="13"/>
  <c r="AC15" i="13"/>
  <c r="AC12" i="13"/>
  <c r="AB17" i="13"/>
  <c r="AB16" i="13"/>
  <c r="AB15" i="13"/>
  <c r="AB13" i="13"/>
  <c r="AB12" i="13"/>
  <c r="AD3" i="13"/>
  <c r="AC9" i="13"/>
  <c r="AC6" i="13"/>
  <c r="AC3" i="13"/>
  <c r="AB11" i="13"/>
  <c r="AB10" i="13"/>
  <c r="AB9" i="13"/>
  <c r="AB8" i="13"/>
  <c r="AB7" i="13"/>
  <c r="AB6" i="13"/>
  <c r="AB4" i="13"/>
  <c r="AB3" i="13"/>
  <c r="AB14" i="13"/>
  <c r="AB5" i="13"/>
  <c r="AE24" i="12"/>
  <c r="AE18" i="12"/>
  <c r="AD24" i="12"/>
  <c r="AD21" i="12"/>
  <c r="AD18" i="12"/>
  <c r="AC26" i="12"/>
  <c r="AC25" i="12"/>
  <c r="AC23" i="12"/>
  <c r="AC22" i="12"/>
  <c r="AC21" i="12"/>
  <c r="AC20" i="12"/>
  <c r="AC19" i="12"/>
  <c r="AC18" i="12"/>
  <c r="AE12" i="12"/>
  <c r="AD15" i="12"/>
  <c r="AD12" i="12"/>
  <c r="AC17" i="12"/>
  <c r="AC15" i="12"/>
  <c r="AC12" i="12"/>
  <c r="AE3" i="12"/>
  <c r="AD9" i="12"/>
  <c r="AD6" i="12"/>
  <c r="AD3" i="12"/>
  <c r="AC11" i="12"/>
  <c r="AC10" i="12"/>
  <c r="AC9" i="12"/>
  <c r="AC8" i="12"/>
  <c r="AC7" i="12"/>
  <c r="AC4" i="12"/>
  <c r="AC3" i="12"/>
  <c r="AC24" i="12"/>
  <c r="AC16" i="12"/>
  <c r="AC14" i="12"/>
  <c r="AC13" i="12"/>
  <c r="AC6" i="12"/>
  <c r="AC5" i="12"/>
  <c r="AD24" i="11"/>
  <c r="AD18" i="11"/>
  <c r="AC24" i="11"/>
  <c r="AC21" i="11"/>
  <c r="AC18" i="11"/>
  <c r="AB26" i="11"/>
  <c r="AB25" i="11"/>
  <c r="AB24" i="11"/>
  <c r="AB23" i="11"/>
  <c r="AB22" i="11"/>
  <c r="AB21" i="11"/>
  <c r="AB20" i="11"/>
  <c r="AB19" i="11"/>
  <c r="AB18" i="11"/>
  <c r="AD12" i="11"/>
  <c r="AC15" i="11"/>
  <c r="AC12" i="11"/>
  <c r="AB17" i="11"/>
  <c r="AB16" i="11"/>
  <c r="AB15" i="11"/>
  <c r="AB14" i="11"/>
  <c r="AB13" i="11"/>
  <c r="AB12" i="11"/>
  <c r="AD3" i="11"/>
  <c r="AC9" i="11"/>
  <c r="AC6" i="11"/>
  <c r="AC3" i="11"/>
  <c r="AB11" i="11"/>
  <c r="AB10" i="11"/>
  <c r="AB9" i="11"/>
  <c r="AB8" i="11"/>
  <c r="AB6" i="11"/>
  <c r="AB5" i="11"/>
  <c r="AB4" i="11"/>
  <c r="AB3" i="11"/>
  <c r="AB7" i="11"/>
  <c r="AD18" i="10"/>
  <c r="AD24" i="10"/>
  <c r="AC24" i="10"/>
  <c r="AC18" i="10"/>
  <c r="AB26" i="10"/>
  <c r="AB25" i="10"/>
  <c r="AB24" i="10"/>
  <c r="AB23" i="10"/>
  <c r="AB21" i="10"/>
  <c r="AB20" i="10"/>
  <c r="AB19" i="10"/>
  <c r="AB18" i="10"/>
  <c r="AD12" i="10"/>
  <c r="AC15" i="10"/>
  <c r="AC12" i="10"/>
  <c r="AB17" i="10"/>
  <c r="AB16" i="10"/>
  <c r="AB15" i="10"/>
  <c r="AB14" i="10"/>
  <c r="AB13" i="10"/>
  <c r="AB12" i="10"/>
  <c r="AD3" i="10"/>
  <c r="AC9" i="10"/>
  <c r="AC6" i="10"/>
  <c r="AB11" i="10"/>
  <c r="AB10" i="10"/>
  <c r="AB9" i="10"/>
  <c r="AB8" i="10"/>
  <c r="AB6" i="10"/>
  <c r="AB5" i="10"/>
  <c r="AB4" i="10"/>
  <c r="AB7" i="10"/>
  <c r="AB22" i="10"/>
  <c r="AC21" i="10"/>
  <c r="AC3" i="10"/>
  <c r="AB3" i="10"/>
  <c r="AD24" i="4"/>
  <c r="AD18" i="4"/>
  <c r="AC24" i="4"/>
  <c r="AC21" i="4"/>
  <c r="AC18" i="4"/>
  <c r="AB26" i="4"/>
  <c r="AB25" i="4"/>
  <c r="AB24" i="4"/>
  <c r="AB23" i="4"/>
  <c r="AB22" i="4"/>
  <c r="AB21" i="4"/>
  <c r="AB20" i="4"/>
  <c r="AB19" i="4"/>
  <c r="AB18" i="4"/>
  <c r="AD12" i="4"/>
  <c r="AC15" i="4"/>
  <c r="AC12" i="4"/>
  <c r="AB17" i="4"/>
  <c r="AB16" i="4"/>
  <c r="AB15" i="4"/>
  <c r="AB14" i="4"/>
  <c r="AB13" i="4"/>
  <c r="AB12" i="4"/>
  <c r="AD3" i="4"/>
  <c r="AC9" i="4"/>
  <c r="AC6" i="4"/>
  <c r="AC3" i="4"/>
  <c r="AB11" i="4"/>
  <c r="AB10" i="4"/>
  <c r="AB9" i="4"/>
  <c r="AB8" i="4"/>
  <c r="AB5" i="4"/>
  <c r="AB4" i="4"/>
  <c r="AB3" i="4"/>
  <c r="AB7" i="4"/>
  <c r="AB6" i="4"/>
  <c r="AB26" i="5"/>
  <c r="AB25" i="5"/>
  <c r="AB24" i="5"/>
  <c r="AB23" i="5"/>
  <c r="AB22" i="5"/>
  <c r="AB21" i="5"/>
  <c r="AB20" i="5"/>
  <c r="AB19" i="5"/>
  <c r="AB18" i="5"/>
  <c r="AB17" i="5"/>
  <c r="AB16" i="5"/>
  <c r="AB15" i="5"/>
  <c r="AB14" i="5"/>
  <c r="AB13" i="5"/>
  <c r="AB12" i="5"/>
  <c r="AB11" i="5"/>
  <c r="AB10" i="5"/>
  <c r="AB9" i="5"/>
  <c r="AB8" i="5"/>
  <c r="AB7" i="5"/>
  <c r="AB6" i="5"/>
  <c r="AB5" i="5"/>
  <c r="AB4" i="5"/>
  <c r="AB3" i="5"/>
  <c r="AD24" i="5"/>
  <c r="AD18" i="5"/>
  <c r="AD12" i="5"/>
  <c r="AD3" i="5"/>
  <c r="AC24" i="5"/>
  <c r="AC21" i="5"/>
  <c r="AC18" i="5"/>
  <c r="AC15" i="5"/>
  <c r="AC12" i="5"/>
  <c r="AC9" i="5"/>
  <c r="AC6" i="5"/>
  <c r="AC3" i="5"/>
  <c r="Z24" i="16"/>
  <c r="Z18" i="16"/>
  <c r="Z12" i="16"/>
  <c r="Z3" i="16"/>
  <c r="X4" i="16"/>
  <c r="Y27" i="16"/>
  <c r="Y24" i="16"/>
  <c r="Y21" i="16"/>
  <c r="Y18" i="16"/>
  <c r="Y15" i="16"/>
  <c r="Y12" i="16"/>
  <c r="Y9" i="16"/>
  <c r="Y6" i="16"/>
  <c r="Y3" i="16"/>
  <c r="X29" i="16"/>
  <c r="X28" i="16"/>
  <c r="X27" i="16"/>
  <c r="X26" i="16"/>
  <c r="X25" i="16"/>
  <c r="X18" i="16"/>
  <c r="X19" i="16"/>
  <c r="X21" i="16"/>
  <c r="X22" i="16"/>
  <c r="X24" i="16"/>
  <c r="X6" i="16"/>
  <c r="X7" i="16"/>
  <c r="X8" i="16"/>
  <c r="Y24" i="4"/>
  <c r="Y21" i="4"/>
  <c r="Y18" i="4"/>
  <c r="Y15" i="4"/>
  <c r="Y12" i="4"/>
  <c r="Y9" i="4"/>
  <c r="Y6" i="4"/>
  <c r="Y3" i="4"/>
</calcChain>
</file>

<file path=xl/sharedStrings.xml><?xml version="1.0" encoding="utf-8"?>
<sst xmlns="http://schemas.openxmlformats.org/spreadsheetml/2006/main" count="3596" uniqueCount="204">
  <si>
    <t>Sigla</t>
  </si>
  <si>
    <t>Comune</t>
  </si>
  <si>
    <t>Località</t>
  </si>
  <si>
    <t>Codice_stazione_dal 2002</t>
  </si>
  <si>
    <t>Distanza dalla costa (m)</t>
  </si>
  <si>
    <t>Profondità del fondale</t>
  </si>
  <si>
    <t>VE</t>
  </si>
  <si>
    <t>S. Michele al Tagliamento</t>
  </si>
  <si>
    <t>foce f. Tagliamento, fronte faro</t>
  </si>
  <si>
    <t>Caorle</t>
  </si>
  <si>
    <t>fronte zona Colonie</t>
  </si>
  <si>
    <t>fronte Porto S. Margherita</t>
  </si>
  <si>
    <t>Jesolo</t>
  </si>
  <si>
    <t>Cavallino-Treporti</t>
  </si>
  <si>
    <t>fronte campeggio Villa al Mare</t>
  </si>
  <si>
    <t>Venezia Lido</t>
  </si>
  <si>
    <t>Chioggia</t>
  </si>
  <si>
    <t>fronte spiaggia Sottomarina Nord</t>
  </si>
  <si>
    <t>fronte spiaggia Sottomarina Sud</t>
  </si>
  <si>
    <t>RO</t>
  </si>
  <si>
    <t>Rosolina</t>
  </si>
  <si>
    <t>fronte Villaggio Nord</t>
  </si>
  <si>
    <t>Porto Viro</t>
  </si>
  <si>
    <t>fronte Scanno Cavallari</t>
  </si>
  <si>
    <t>Porto Tolle</t>
  </si>
  <si>
    <t>foce Po di Pila</t>
  </si>
  <si>
    <t>foce Po di Gnocca</t>
  </si>
  <si>
    <t>Codice_stazione_anni1997-2001</t>
  </si>
  <si>
    <t>TRIX gennaio</t>
  </si>
  <si>
    <t>TRIX febbraio</t>
  </si>
  <si>
    <t>TRIX marzo</t>
  </si>
  <si>
    <t>TRIX aprile</t>
  </si>
  <si>
    <t>TRIX maggio 1</t>
  </si>
  <si>
    <t>TRIX maggio 2</t>
  </si>
  <si>
    <t>TRIX luglio 1</t>
  </si>
  <si>
    <t>TRIX giugno 1</t>
  </si>
  <si>
    <t>TRIX giugno 2</t>
  </si>
  <si>
    <t>TRIX luglio 2</t>
  </si>
  <si>
    <t>TRIX agosto 1</t>
  </si>
  <si>
    <t>TRIX agosto 2</t>
  </si>
  <si>
    <t>TRIX settembre 1</t>
  </si>
  <si>
    <t>TRIX settembre 2</t>
  </si>
  <si>
    <t>TRIX ottobre</t>
  </si>
  <si>
    <t>TRIX novembre</t>
  </si>
  <si>
    <t>TRIX dicembre</t>
  </si>
  <si>
    <t xml:space="preserve">TRIX maggio </t>
  </si>
  <si>
    <t>Brussa - Fronte spiaggia Brussa</t>
  </si>
  <si>
    <t>Jesolo Lido</t>
  </si>
  <si>
    <t>Cavallino - Punta Sabbioni</t>
  </si>
  <si>
    <t>Venezia</t>
  </si>
  <si>
    <t xml:space="preserve">Venezia </t>
  </si>
  <si>
    <t>Pellestrina - fronte spiaggia S. Pietro in Volta</t>
  </si>
  <si>
    <t>Pellestrina - fronte spiaggia Ca' Roman</t>
  </si>
  <si>
    <t xml:space="preserve">Isola Verde </t>
  </si>
  <si>
    <t>Rosolina mare - Punta Caleri</t>
  </si>
  <si>
    <t>Po di Maistra</t>
  </si>
  <si>
    <t>Po di Tolle</t>
  </si>
  <si>
    <t>TRIX gennaio 1</t>
  </si>
  <si>
    <t>TRIX gennaio 2</t>
  </si>
  <si>
    <t>TRIX febbraio 1</t>
  </si>
  <si>
    <t>TRIX febbraio 2</t>
  </si>
  <si>
    <t>TRIX marzo 1</t>
  </si>
  <si>
    <t>TRIX marzo 2</t>
  </si>
  <si>
    <t>TRIX aprile 1</t>
  </si>
  <si>
    <t>TRIX aprile 2</t>
  </si>
  <si>
    <t>TRIX ottobre 1</t>
  </si>
  <si>
    <t>TRIX ottobre 2</t>
  </si>
  <si>
    <t>TRIX novembre 1</t>
  </si>
  <si>
    <t>TRIX novembre 2</t>
  </si>
  <si>
    <t>TRIX dicembre 1</t>
  </si>
  <si>
    <t>TRIX dicembre 2</t>
  </si>
  <si>
    <t>TRIX annuo per stazione</t>
  </si>
  <si>
    <t>TRIX annuo per transetto</t>
  </si>
  <si>
    <t/>
  </si>
  <si>
    <t>TRIX settembre</t>
  </si>
  <si>
    <t>TRIX agosto</t>
  </si>
  <si>
    <t>TRIX luglio</t>
  </si>
  <si>
    <t>TRIX giugno</t>
  </si>
  <si>
    <t>foce Po di Tolle</t>
  </si>
  <si>
    <t>non effettuata</t>
  </si>
  <si>
    <t>TRIX annuo per corpo idrico</t>
  </si>
  <si>
    <t>Codice regionale stazione</t>
  </si>
  <si>
    <t>CE1_1</t>
  </si>
  <si>
    <t>CE1_2</t>
  </si>
  <si>
    <t>CE1_4</t>
  </si>
  <si>
    <t>Codice regionale Corpo idrico (D.M. 131/2008)</t>
  </si>
  <si>
    <t>Ricalcolo del TRIX sui corpi idrici individuati nel 2009 ai sensi del D.M. 131/2008 (Direttiva 2000/60/CE)</t>
  </si>
  <si>
    <t>CE1_4 (manca il transetto 082 attivo dal 2010)</t>
  </si>
  <si>
    <t>CE1_3</t>
  </si>
  <si>
    <t>Codice transetto</t>
  </si>
  <si>
    <t>Classi di trofia ex D.lgs. 152/1999</t>
  </si>
  <si>
    <t>% superamenti per stazione</t>
  </si>
  <si>
    <t>% superamenti per transetto</t>
  </si>
  <si>
    <t>% superamenti per corpo idrico</t>
  </si>
  <si>
    <t>Superamenti della soglia Buono/Sufficiente ai sensi del D.M. 260/2010 (% di campioni per anno)</t>
  </si>
  <si>
    <t>MACROTIPO</t>
  </si>
  <si>
    <t>LIMITI DI CLASSE TRIX (buono/sufficiente)</t>
  </si>
  <si>
    <t>1: Alta stabilità</t>
  </si>
  <si>
    <t>2: Media stabilità</t>
  </si>
  <si>
    <t>3: Bassa stabilità</t>
  </si>
  <si>
    <t>Tabella 2</t>
  </si>
  <si>
    <t>Tabella 1</t>
  </si>
  <si>
    <t>INFORMAZIONI RELATIVE AI DATI DI INDICE TROFICO TRIX PRESENTATI</t>
  </si>
  <si>
    <t>L'indice trofico TRIX è un indice che permette di dare un criterio di caratterizzazione oggettivo delle acque, unendo elementi di giudizio qualitativi e quantitativi. L’indice è calcolato sulla base di fattori nutrizionali (azoto inorganico disciolto -DIN e fosforo totale) e fattori legati alla produttività (clorofilla a ed ossigeno disciolto). Il TRIX esprime, attraverso una scala da 2 a 8, il gradi di trofia ed il livello di produttività delle acque costiere  in base a quattro classi di qualità (Tab. 1).</t>
  </si>
  <si>
    <t>ME2_1</t>
  </si>
  <si>
    <t>ME2_2</t>
  </si>
  <si>
    <t>Pellestrina - fronte S. Pietro in Volta</t>
  </si>
  <si>
    <t>Soglia Buono/Sufficiente D.M. 260/2010</t>
  </si>
  <si>
    <r>
      <t>Individuazione dei corpi idrici delle acque costiere e marine del Veneto (D.M. n. 131 del 16 giugno 2008)</t>
    </r>
    <r>
      <rPr>
        <sz val="11"/>
        <color indexed="8"/>
        <rFont val="Arial"/>
        <family val="2"/>
      </rPr>
      <t xml:space="preserve">. </t>
    </r>
  </si>
  <si>
    <t>CODICE REGIONALE CORPO IDRICO</t>
  </si>
  <si>
    <t>CODICE EUROPEO CORPO IDRICO</t>
  </si>
  <si>
    <t>CODICE TIPO</t>
  </si>
  <si>
    <t>DISTRETTO</t>
  </si>
  <si>
    <t>LOCALIZZAZIONE</t>
  </si>
  <si>
    <t>ESTENSIONE</t>
  </si>
  <si>
    <r>
      <t>AREA (Km</t>
    </r>
    <r>
      <rPr>
        <b/>
        <vertAlign val="superscript"/>
        <sz val="10"/>
        <color indexed="8"/>
        <rFont val="Arial"/>
        <family val="2"/>
      </rPr>
      <t>2</t>
    </r>
    <r>
      <rPr>
        <b/>
        <sz val="10"/>
        <color indexed="8"/>
        <rFont val="Arial"/>
        <family val="2"/>
      </rPr>
      <t>)</t>
    </r>
  </si>
  <si>
    <t>IT05CE1_1</t>
  </si>
  <si>
    <t>05ACE1</t>
  </si>
  <si>
    <t>Alpi Orientali</t>
  </si>
  <si>
    <t xml:space="preserve">Tra foce Tagliamento e porto di Lido </t>
  </si>
  <si>
    <t xml:space="preserve">Acque costiere entro 2 miglia nautiche dalla costa </t>
  </si>
  <si>
    <t>IT05CE1_2</t>
  </si>
  <si>
    <t xml:space="preserve">Tra porto di Lido e porto di Chioggia </t>
  </si>
  <si>
    <t>IT05CE1_3</t>
  </si>
  <si>
    <t>IT05CE1_4</t>
  </si>
  <si>
    <t>Padano</t>
  </si>
  <si>
    <t>IT05ME2_1</t>
  </si>
  <si>
    <t>05ACE2</t>
  </si>
  <si>
    <t>Al largo della zona compresa tra foce Sile e porto di Chioggia</t>
  </si>
  <si>
    <t>Acque marine oltre 2 miglia dalla costa</t>
  </si>
  <si>
    <t>IT05ME2_2</t>
  </si>
  <si>
    <t>Al largo della zona compresa tra porto di Chioggia e foce del Po di Pila</t>
  </si>
  <si>
    <t>TRIX maggio</t>
  </si>
  <si>
    <t>TRIX marzo 2017</t>
  </si>
  <si>
    <t>TRIX aprile 2017</t>
  </si>
  <si>
    <t>TRIX giugno 2017</t>
  </si>
  <si>
    <t>TRIX luglio 2017</t>
  </si>
  <si>
    <t>TRIX agosto 2017</t>
  </si>
  <si>
    <t>TRIX settembre 2017</t>
  </si>
  <si>
    <t>TRIX novembre 2017</t>
  </si>
  <si>
    <t>A febbraio 2011 è stato pubblicato in G.U. il Decreto del Ministero dell'Ambiente e della Tutela del Territorio e del Mare n. 260 del 8 novembre 2010, che definisce i criteri per la classificazione dello stato dei corpi idrici superficiali, ai sensi del d.Lgs. 152/2006 e della Direttiva 2000/60/CE.</t>
  </si>
  <si>
    <t>I corpi idrici delle acque marino costiere sono stati individuati nel 2009 ai sensi del D.M. 131/2008 e ad essi è stato applicato il monitoraggio di tipo operativo, in quanto tutti a rischio di non raggiungere gli obiettivi di qualità indicati dalla Direttiva stessa.</t>
  </si>
  <si>
    <r>
      <rPr>
        <b/>
        <sz val="10"/>
        <rFont val="Arial"/>
        <family val="2"/>
      </rPr>
      <t>1 -</t>
    </r>
    <r>
      <rPr>
        <sz val="10"/>
        <rFont val="Arial"/>
        <family val="2"/>
      </rPr>
      <t xml:space="preserve"> la distinzione in corpi idrici è stata applicata, a ritroso negli anni, fino al 2004 compreso data la costituzione pressocché invariata della rete di stazioni;</t>
    </r>
  </si>
  <si>
    <r>
      <rPr>
        <b/>
        <sz val="10"/>
        <rFont val="Arial"/>
        <family val="2"/>
      </rPr>
      <t>2 -</t>
    </r>
    <r>
      <rPr>
        <sz val="10"/>
        <rFont val="Arial"/>
        <family val="2"/>
      </rPr>
      <t xml:space="preserve"> dal 2010, al fine di fornire maggiore consisteza al dataset relativo al corpo idrico CE1_4 (antistante il delta del Po), è stata introdotta una nuova area di indagine (transetto 082) situato a sud del transetto 601 già esistente;  </t>
    </r>
  </si>
  <si>
    <r>
      <rPr>
        <b/>
        <sz val="10"/>
        <rFont val="Arial"/>
        <family val="2"/>
      </rPr>
      <t>3 -</t>
    </r>
    <r>
      <rPr>
        <sz val="10"/>
        <rFont val="Arial"/>
        <family val="2"/>
      </rPr>
      <t xml:space="preserve"> stante il significato del TRIX quale indicatore dello stato di trofia delle acque si è mantenuta la distinzione in classi di trofia dettata dall'ex D.Lgs. 152/1999, nonostante non più utilizzata ai fini della classificazione (vedi tabella trofica 1 a fianco); </t>
    </r>
  </si>
  <si>
    <r>
      <rPr>
        <b/>
        <sz val="10"/>
        <rFont val="Arial"/>
        <family val="2"/>
      </rPr>
      <t>4 -</t>
    </r>
    <r>
      <rPr>
        <sz val="10"/>
        <rFont val="Arial"/>
        <family val="2"/>
      </rPr>
      <t xml:space="preserve"> con l'emanazione del D.M. 260/2010, l'indice TRIX esprime il ruolo degli elementi chimico fisici a sostegno degli Elementi di Qualità Biologica (EQB) nella definizione dello stato ecologico; ai fini della applicazione del TRIX vengono fissati i limiti di classe tra lo stato buono e quello sufficiente per ciascuno dei macrotipi di acque costiere individuati su base idrologica (vedi tabella 2 a fianco);</t>
    </r>
  </si>
  <si>
    <r>
      <rPr>
        <b/>
        <sz val="10"/>
        <rFont val="Arial"/>
        <family val="2"/>
      </rPr>
      <t>5 -</t>
    </r>
    <r>
      <rPr>
        <sz val="10"/>
        <rFont val="Arial"/>
        <family val="2"/>
      </rPr>
      <t xml:space="preserve"> le acque dei quattro corpi idrici costieri veneti appartengono al macrotipo 1 (Alta stabilità) pertanto i valori di TRIX sono stati confrontati con il limite pari a 5 unità; per ciascuna stazione, transetto e corpo idrico è stata riportata la percentuale di campioni che hanno superato tale limite, applicando questo calcolo a ritroso negli anni fino al 2004 permettendo un raffronto nel tempo;</t>
    </r>
  </si>
  <si>
    <r>
      <rPr>
        <b/>
        <sz val="10"/>
        <rFont val="Arial"/>
        <family val="2"/>
      </rPr>
      <t>8 -</t>
    </r>
    <r>
      <rPr>
        <sz val="10"/>
        <rFont val="Arial"/>
        <family val="2"/>
      </rPr>
      <t xml:space="preserve"> L'indice trofico presentato in questo documento è calcolato utilizzando i valori di clorofilla </t>
    </r>
    <r>
      <rPr>
        <i/>
        <sz val="10"/>
        <rFont val="Arial"/>
        <family val="2"/>
      </rPr>
      <t>a</t>
    </r>
    <r>
      <rPr>
        <sz val="10"/>
        <rFont val="Arial"/>
        <family val="2"/>
      </rPr>
      <t xml:space="preserve"> determinati con il fluorimetro associato alla sonda ctd direttamente sul campo; </t>
    </r>
    <r>
      <rPr>
        <b/>
        <sz val="10"/>
        <rFont val="Arial"/>
        <family val="2"/>
      </rPr>
      <t>non viene utilizzato per il processo di classificazione di stato ecologico, per il quale si utilizza il TRIX calcolato con le concentrazioni di clorofilla determinate analiticamente nelle sole stazioni di monitoraggio dell'EQB Fitoplancton</t>
    </r>
    <r>
      <rPr>
        <sz val="10"/>
        <rFont val="Arial"/>
        <family val="2"/>
      </rPr>
      <t>.</t>
    </r>
  </si>
  <si>
    <t>TRIX marzo 2018</t>
  </si>
  <si>
    <t>TRIX giugno 2018</t>
  </si>
  <si>
    <t>TRIX luglio 2018</t>
  </si>
  <si>
    <t>TRIX agosto 2018</t>
  </si>
  <si>
    <t>TRIX settembre 2018</t>
  </si>
  <si>
    <t>TRIX novembre 2018</t>
  </si>
  <si>
    <t>TRIX maggio 2018</t>
  </si>
  <si>
    <t>TRIX marzo 2019</t>
  </si>
  <si>
    <t>TRIX giugno 2019</t>
  </si>
  <si>
    <t>TRIX luglio 2019</t>
  </si>
  <si>
    <t>TRIX agosto 2019</t>
  </si>
  <si>
    <t>TRIX settembre 2019</t>
  </si>
  <si>
    <t>TRIX dicembre 2019</t>
  </si>
  <si>
    <t>TRIX aprile 2019</t>
  </si>
  <si>
    <t>Alcune importanti informazioni sui dati sono riportate nel foglio NOTE.</t>
  </si>
  <si>
    <t>MODIFICATI I CORPI IDRICI CE1_3 E CE1_4</t>
  </si>
  <si>
    <t>TRIX febbraio 2020</t>
  </si>
  <si>
    <t>TRIX giugno 2020</t>
  </si>
  <si>
    <t>TRIX luglio 2020</t>
  </si>
  <si>
    <t>TRIX agosto 2020</t>
  </si>
  <si>
    <t>TRIX settembre 2020</t>
  </si>
  <si>
    <t>TRIX ottobre 2020</t>
  </si>
  <si>
    <t>TRIX novembre 2020</t>
  </si>
  <si>
    <t>Relativamente alla applicazione dell'indice trofico TRIX, i cui dati puntuali per stazione e per campagna di misure e analisi sono riportati dal 1997 al 2020, si è ritenuto di utilità procedere nel seguente modo:</t>
  </si>
  <si>
    <r>
      <rPr>
        <b/>
        <sz val="10"/>
        <rFont val="Arial"/>
        <family val="2"/>
      </rPr>
      <t>6 -</t>
    </r>
    <r>
      <rPr>
        <sz val="10"/>
        <rFont val="Arial"/>
        <family val="2"/>
      </rPr>
      <t xml:space="preserve"> le acque dei due corpi idrici al largo, oltre i costieri, appartengono al macrotipo 2 (Media stabilità), pertanto i valori di TRIX sono stati confrontati con il limite pari a 4.5 unità; per ciascuna stazione, transetto e corpo idrico è stata riportata la percentuale di campioni che hanno superato tale limite;</t>
    </r>
  </si>
  <si>
    <r>
      <rPr>
        <b/>
        <sz val="10"/>
        <rFont val="Arial"/>
        <family val="2"/>
      </rPr>
      <t>7 -</t>
    </r>
    <r>
      <rPr>
        <sz val="10"/>
        <rFont val="Arial"/>
        <family val="2"/>
      </rPr>
      <t xml:space="preserve"> il D.M. 260/2010 prevede per gli elementi chimico fisici a sostegno una frequenza di almeno sei misure/anno. Fino al 2009 sono state realizzate campagne con cadenza quindicinale da giugno a settembre e mensile nel resto dell'anno, nel 2010 si è passati a campagne mensili mentre dal 2011 le campagne assumono la frequenza di legge. Dal 2016 si effettuano misure con frequenza di 7 campagne l'anno;</t>
    </r>
  </si>
  <si>
    <t>Con la Legge 28 dicembre 2015, n. 221 il bacino del Fissero Tartaro Canalbianco, prima ricompreso nel Distretto Idrografico delle Alpi Orientali, nella ripartizione di cui all’Art. 51 “Norme in materia di Autorità di bacino” viene a ricadere nel Distretto Idrografico del Fiume Po. Tale disposizione ha comportato la modifica di due corpi idrici, rispetto al sessennio precedente, in termini di superficie e di localizzazione delle stazioni: il c.i. CE1_3 ora si estende tra la bocca sud del Porto di Chioggia e lo sbocco nord della Laguna di Caleri, mentre l’area da questo limite verso sud viene accorpata al corpo idrico padano CE1_4 e il transetto 072, situato in tale area, ricade quindi nel c.i. CE1_4.</t>
  </si>
  <si>
    <t xml:space="preserve">Tra porto di Chioggia e sboccodella Laguna di Caleri </t>
  </si>
  <si>
    <t>Tra sbocco della Laguna di Caleri e confine regionale</t>
  </si>
  <si>
    <t>TRIX novembre 2021</t>
  </si>
  <si>
    <t>TRIX settembre 2021</t>
  </si>
  <si>
    <t>TRIX agosto 2021</t>
  </si>
  <si>
    <t>TRIX luglio 2021</t>
  </si>
  <si>
    <t>TRIX giugno 2021</t>
  </si>
  <si>
    <t>TRIX aprile 2021</t>
  </si>
  <si>
    <t>TRIX marzo 2021</t>
  </si>
  <si>
    <t>TRIX marzo 2022</t>
  </si>
  <si>
    <t>TRIX aprile/maggio 2022</t>
  </si>
  <si>
    <t>TRIX novembre/dicembre 2022</t>
  </si>
  <si>
    <t>TRIX settembre 2022</t>
  </si>
  <si>
    <t>TRIX agosto 2022</t>
  </si>
  <si>
    <t>TRIX luglio 2022</t>
  </si>
  <si>
    <t>TRIX giugno 2022</t>
  </si>
  <si>
    <t>Marzo 2023</t>
  </si>
  <si>
    <t>Aprile/Maggio 2023</t>
  </si>
  <si>
    <t>Giugno 2023</t>
  </si>
  <si>
    <t>Luglio 2023</t>
  </si>
  <si>
    <t>Agosto 2023</t>
  </si>
  <si>
    <t>Ottobre 2023</t>
  </si>
  <si>
    <t>Marzo 2024</t>
  </si>
  <si>
    <t>Aprile 2024</t>
  </si>
  <si>
    <t>Giugno 2024</t>
  </si>
  <si>
    <t>Luglio 2024</t>
  </si>
  <si>
    <t>Agosto 2024</t>
  </si>
  <si>
    <t>Settembre/Ottobre 2024</t>
  </si>
  <si>
    <t>Novembre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</si>
</sst>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
  </numFmts>
  <fonts count="24" x14ac:knownFonts="1">
    <font>
      <sz val="10"/>
      <name val="Arial"/>
    </font>
    <font>
      <sz val="10"/>
      <name val="Arial"/>
      <family val="2"/>
    </font>
    <font>
      <b/>
      <sz val="10"/>
      <name val="Arial"/>
      <family val="2"/>
    </font>
    <font>
      <sz val="10"/>
      <name val="Arial"/>
      <family val="2"/>
    </font>
    <font>
      <sz val="8"/>
      <name val="Arial"/>
      <family val="2"/>
    </font>
    <font>
      <sz val="8"/>
      <name val="Arial"/>
      <family val="2"/>
    </font>
    <font>
      <sz val="10"/>
      <color indexed="8"/>
      <name val="Arial"/>
      <family val="2"/>
    </font>
    <font>
      <sz val="12"/>
      <name val="Arial"/>
      <family val="2"/>
    </font>
    <font>
      <sz val="10"/>
      <color indexed="8"/>
      <name val="Arial"/>
      <family val="2"/>
    </font>
    <font>
      <b/>
      <sz val="10"/>
      <color indexed="8"/>
      <name val="Arial"/>
      <family val="2"/>
    </font>
    <font>
      <b/>
      <sz val="11"/>
      <color indexed="8"/>
      <name val="Calibri"/>
      <family val="2"/>
    </font>
    <font>
      <b/>
      <sz val="11"/>
      <color indexed="8"/>
      <name val="Arial"/>
      <family val="2"/>
    </font>
    <font>
      <sz val="11"/>
      <color indexed="8"/>
      <name val="Arial"/>
      <family val="2"/>
    </font>
    <font>
      <b/>
      <sz val="10"/>
      <color indexed="8"/>
      <name val="Arial"/>
      <family val="2"/>
    </font>
    <font>
      <b/>
      <vertAlign val="superscript"/>
      <sz val="10"/>
      <color indexed="8"/>
      <name val="Arial"/>
      <family val="2"/>
    </font>
    <font>
      <sz val="10"/>
      <color indexed="8"/>
      <name val="Arial"/>
      <family val="2"/>
    </font>
    <font>
      <sz val="8"/>
      <name val="Arial"/>
      <family val="2"/>
    </font>
    <font>
      <sz val="10"/>
      <color indexed="8"/>
      <name val="Arial"/>
      <family val="2"/>
    </font>
    <font>
      <i/>
      <sz val="10"/>
      <name val="Arial"/>
      <family val="2"/>
    </font>
    <font>
      <b/>
      <sz val="14"/>
      <name val="Arial"/>
      <family val="2"/>
    </font>
    <font>
      <sz val="11"/>
      <color theme="1"/>
      <name val="Calibri"/>
      <family val="2"/>
      <scheme val="minor"/>
    </font>
    <font>
      <sz val="11"/>
      <name val="Calibri"/>
      <family val="2"/>
      <scheme val="minor"/>
    </font>
    <font>
      <b/>
      <sz val="11"/>
      <name val="Calibri"/>
      <family val="2"/>
      <scheme val="minor"/>
    </font>
    <font>
      <sz val="10"/>
      <color theme="1"/>
      <name val="Arial"/>
      <family val="2"/>
    </font>
  </fonts>
  <fills count="15">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9"/>
        <bgColor indexed="64"/>
      </patternFill>
    </fill>
    <fill>
      <patternFill patternType="solid">
        <fgColor indexed="40"/>
        <bgColor indexed="64"/>
      </patternFill>
    </fill>
    <fill>
      <patternFill patternType="solid">
        <fgColor indexed="50"/>
        <bgColor indexed="64"/>
      </patternFill>
    </fill>
    <fill>
      <patternFill patternType="solid">
        <fgColor indexed="10"/>
        <bgColor indexed="64"/>
      </patternFill>
    </fill>
    <fill>
      <patternFill patternType="lightUp"/>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xf numFmtId="0" fontId="20" fillId="0" borderId="0"/>
  </cellStyleXfs>
  <cellXfs count="531">
    <xf numFmtId="0" fontId="0" fillId="0" borderId="0" xfId="0"/>
    <xf numFmtId="0" fontId="2" fillId="0" borderId="1" xfId="0" applyNumberFormat="1" applyFont="1" applyFill="1" applyBorder="1" applyAlignment="1">
      <alignment horizontal="left" wrapText="1"/>
    </xf>
    <xf numFmtId="0" fontId="2" fillId="0" borderId="1" xfId="0" quotePrefix="1" applyNumberFormat="1" applyFont="1" applyFill="1" applyBorder="1" applyAlignment="1">
      <alignment horizontal="left" wrapText="1"/>
    </xf>
    <xf numFmtId="0" fontId="2" fillId="0" borderId="1" xfId="0" applyNumberFormat="1" applyFont="1" applyFill="1" applyBorder="1" applyAlignment="1">
      <alignment horizontal="center" wrapText="1"/>
    </xf>
    <xf numFmtId="0" fontId="3" fillId="0" borderId="0" xfId="0" applyNumberFormat="1" applyFont="1" applyFill="1" applyBorder="1" applyAlignment="1">
      <alignment horizontal="left"/>
    </xf>
    <xf numFmtId="0" fontId="3" fillId="0" borderId="0" xfId="0" quotePrefix="1" applyNumberFormat="1" applyFont="1" applyFill="1" applyBorder="1"/>
    <xf numFmtId="0" fontId="3" fillId="0" borderId="0" xfId="0" quotePrefix="1" applyNumberFormat="1" applyFont="1" applyFill="1" applyBorder="1" applyAlignment="1">
      <alignment horizontal="left"/>
    </xf>
    <xf numFmtId="0" fontId="3" fillId="0" borderId="0" xfId="0" applyNumberFormat="1" applyFont="1" applyFill="1" applyBorder="1" applyAlignment="1">
      <alignment horizontal="center"/>
    </xf>
    <xf numFmtId="164" fontId="0" fillId="0" borderId="0" xfId="0" applyNumberFormat="1" applyFont="1" applyFill="1" applyBorder="1" applyAlignment="1">
      <alignment horizontal="center"/>
    </xf>
    <xf numFmtId="164" fontId="3" fillId="0" borderId="0" xfId="0" applyNumberFormat="1" applyFont="1" applyFill="1" applyBorder="1" applyAlignment="1">
      <alignment horizontal="center"/>
    </xf>
    <xf numFmtId="0" fontId="3" fillId="0" borderId="0" xfId="0" applyFont="1" applyFill="1" applyBorder="1" applyAlignment="1">
      <alignment horizontal="left" wrapText="1"/>
    </xf>
    <xf numFmtId="1" fontId="3" fillId="0" borderId="0" xfId="0" applyNumberFormat="1" applyFont="1" applyFill="1" applyBorder="1" applyAlignment="1">
      <alignment horizontal="center"/>
    </xf>
    <xf numFmtId="0" fontId="3" fillId="0" borderId="0" xfId="0" applyFont="1" applyFill="1" applyBorder="1" applyAlignment="1">
      <alignment horizontal="center"/>
    </xf>
    <xf numFmtId="164" fontId="0" fillId="0" borderId="0" xfId="0" applyNumberFormat="1" applyFill="1" applyBorder="1" applyAlignment="1">
      <alignment horizontal="center"/>
    </xf>
    <xf numFmtId="0" fontId="3" fillId="0" borderId="0" xfId="0" applyFont="1" applyFill="1" applyBorder="1" applyAlignment="1">
      <alignment horizontal="left"/>
    </xf>
    <xf numFmtId="0" fontId="3" fillId="0" borderId="0" xfId="0" applyFont="1" applyFill="1" applyBorder="1"/>
    <xf numFmtId="165" fontId="4" fillId="0" borderId="0" xfId="0" applyNumberFormat="1" applyFont="1"/>
    <xf numFmtId="0" fontId="3" fillId="2" borderId="0" xfId="0" applyFont="1" applyFill="1" applyBorder="1" applyAlignment="1">
      <alignment horizontal="left"/>
    </xf>
    <xf numFmtId="165" fontId="5" fillId="0" borderId="0" xfId="0" applyNumberFormat="1" applyFont="1"/>
    <xf numFmtId="0" fontId="3" fillId="2" borderId="0" xfId="0" applyFont="1" applyFill="1" applyBorder="1"/>
    <xf numFmtId="0" fontId="3" fillId="0" borderId="0" xfId="0" applyFont="1" applyBorder="1" applyAlignment="1">
      <alignment horizontal="left"/>
    </xf>
    <xf numFmtId="165" fontId="0" fillId="0" borderId="0" xfId="0" applyNumberFormat="1"/>
    <xf numFmtId="165" fontId="6" fillId="0" borderId="0" xfId="0" applyNumberFormat="1" applyFont="1" applyAlignment="1">
      <alignment vertical="center"/>
    </xf>
    <xf numFmtId="0" fontId="6" fillId="0" borderId="0" xfId="0" applyFont="1" applyAlignment="1">
      <alignment vertical="center"/>
    </xf>
    <xf numFmtId="0" fontId="2" fillId="0" borderId="2" xfId="0" applyNumberFormat="1" applyFont="1" applyFill="1" applyBorder="1" applyAlignment="1">
      <alignment horizontal="center" wrapText="1"/>
    </xf>
    <xf numFmtId="0" fontId="2" fillId="0" borderId="3" xfId="0" applyNumberFormat="1" applyFont="1" applyFill="1" applyBorder="1" applyAlignment="1">
      <alignment horizontal="center" wrapText="1"/>
    </xf>
    <xf numFmtId="0" fontId="2" fillId="0" borderId="4" xfId="0" applyNumberFormat="1" applyFont="1" applyFill="1" applyBorder="1" applyAlignment="1">
      <alignment horizontal="center" wrapText="1"/>
    </xf>
    <xf numFmtId="165" fontId="6" fillId="0" borderId="5" xfId="0" applyNumberFormat="1" applyFont="1" applyBorder="1" applyAlignment="1">
      <alignment vertical="center"/>
    </xf>
    <xf numFmtId="165" fontId="6" fillId="0" borderId="0" xfId="0" applyNumberFormat="1" applyFont="1" applyBorder="1" applyAlignment="1">
      <alignment vertical="center"/>
    </xf>
    <xf numFmtId="165" fontId="6" fillId="0" borderId="6" xfId="0" applyNumberFormat="1" applyFont="1" applyBorder="1" applyAlignment="1">
      <alignment vertical="center"/>
    </xf>
    <xf numFmtId="165" fontId="6" fillId="2" borderId="3" xfId="0" applyNumberFormat="1" applyFont="1" applyFill="1" applyBorder="1" applyAlignment="1">
      <alignment vertical="center"/>
    </xf>
    <xf numFmtId="165" fontId="6" fillId="2" borderId="7" xfId="0" applyNumberFormat="1" applyFont="1" applyFill="1" applyBorder="1" applyAlignment="1">
      <alignment vertical="center"/>
    </xf>
    <xf numFmtId="0" fontId="3" fillId="0" borderId="8" xfId="0" applyNumberFormat="1" applyFont="1" applyFill="1" applyBorder="1" applyAlignment="1">
      <alignment horizontal="left"/>
    </xf>
    <xf numFmtId="0" fontId="3" fillId="0" borderId="5" xfId="0" applyFont="1" applyFill="1" applyBorder="1"/>
    <xf numFmtId="1" fontId="3" fillId="0" borderId="5" xfId="0" applyNumberFormat="1" applyFont="1" applyFill="1" applyBorder="1" applyAlignment="1">
      <alignment horizontal="center"/>
    </xf>
    <xf numFmtId="0" fontId="3" fillId="0" borderId="5" xfId="0" applyFont="1" applyFill="1" applyBorder="1" applyAlignment="1">
      <alignment horizontal="center"/>
    </xf>
    <xf numFmtId="164" fontId="3" fillId="0" borderId="5" xfId="0" applyNumberFormat="1" applyFont="1" applyFill="1" applyBorder="1" applyAlignment="1">
      <alignment horizontal="center"/>
    </xf>
    <xf numFmtId="0" fontId="3" fillId="0" borderId="9" xfId="0" applyNumberFormat="1" applyFont="1" applyFill="1" applyBorder="1" applyAlignment="1">
      <alignment horizontal="left"/>
    </xf>
    <xf numFmtId="0" fontId="3" fillId="0" borderId="10" xfId="0" applyNumberFormat="1" applyFont="1" applyFill="1" applyBorder="1" applyAlignment="1">
      <alignment horizontal="left"/>
    </xf>
    <xf numFmtId="0" fontId="3" fillId="0" borderId="6" xfId="0" applyFont="1" applyFill="1" applyBorder="1"/>
    <xf numFmtId="1" fontId="3" fillId="0" borderId="6" xfId="0" applyNumberFormat="1" applyFont="1" applyFill="1" applyBorder="1" applyAlignment="1">
      <alignment horizontal="center"/>
    </xf>
    <xf numFmtId="0" fontId="3" fillId="0" borderId="6" xfId="0" applyFont="1" applyFill="1" applyBorder="1" applyAlignment="1">
      <alignment horizontal="center"/>
    </xf>
    <xf numFmtId="164" fontId="3" fillId="0" borderId="6" xfId="0" applyNumberFormat="1" applyFont="1" applyFill="1" applyBorder="1" applyAlignment="1">
      <alignment horizontal="center"/>
    </xf>
    <xf numFmtId="0" fontId="3" fillId="0" borderId="5" xfId="0" applyFont="1" applyFill="1" applyBorder="1" applyAlignment="1">
      <alignment horizontal="left"/>
    </xf>
    <xf numFmtId="164" fontId="0" fillId="0" borderId="5" xfId="0" applyNumberFormat="1" applyFill="1" applyBorder="1" applyAlignment="1">
      <alignment horizontal="center"/>
    </xf>
    <xf numFmtId="0" fontId="3" fillId="0" borderId="6" xfId="0" applyFont="1" applyFill="1" applyBorder="1" applyAlignment="1">
      <alignment horizontal="left"/>
    </xf>
    <xf numFmtId="164" fontId="0" fillId="0" borderId="6" xfId="0" applyNumberFormat="1" applyFill="1" applyBorder="1" applyAlignment="1">
      <alignment horizontal="center"/>
    </xf>
    <xf numFmtId="0" fontId="3" fillId="0" borderId="5" xfId="0" applyNumberFormat="1" applyFont="1" applyFill="1" applyBorder="1" applyAlignment="1">
      <alignment horizontal="center"/>
    </xf>
    <xf numFmtId="0" fontId="3" fillId="0" borderId="6" xfId="0" applyNumberFormat="1" applyFont="1" applyFill="1" applyBorder="1" applyAlignment="1">
      <alignment horizontal="center"/>
    </xf>
    <xf numFmtId="0" fontId="3" fillId="0" borderId="5" xfId="0" quotePrefix="1" applyNumberFormat="1" applyFont="1" applyFill="1" applyBorder="1" applyAlignment="1">
      <alignment horizontal="left"/>
    </xf>
    <xf numFmtId="0" fontId="3" fillId="0" borderId="5" xfId="0" applyNumberFormat="1" applyFont="1" applyFill="1" applyBorder="1" applyAlignment="1">
      <alignment horizontal="left"/>
    </xf>
    <xf numFmtId="0" fontId="3" fillId="0" borderId="6" xfId="0" quotePrefix="1" applyNumberFormat="1" applyFont="1" applyFill="1" applyBorder="1" applyAlignment="1">
      <alignment horizontal="left"/>
    </xf>
    <xf numFmtId="0" fontId="3" fillId="0" borderId="6" xfId="0" applyNumberFormat="1" applyFont="1" applyFill="1" applyBorder="1" applyAlignment="1">
      <alignment horizontal="left"/>
    </xf>
    <xf numFmtId="165" fontId="6" fillId="3" borderId="1" xfId="0" applyNumberFormat="1" applyFont="1" applyFill="1" applyBorder="1" applyAlignment="1">
      <alignment vertical="center"/>
    </xf>
    <xf numFmtId="165" fontId="6" fillId="2" borderId="1" xfId="0" applyNumberFormat="1" applyFont="1" applyFill="1" applyBorder="1" applyAlignment="1">
      <alignment vertical="center"/>
    </xf>
    <xf numFmtId="0" fontId="0" fillId="4" borderId="0" xfId="0" applyFill="1"/>
    <xf numFmtId="0" fontId="0" fillId="0" borderId="5" xfId="0" applyBorder="1"/>
    <xf numFmtId="0" fontId="0" fillId="0" borderId="0" xfId="0" applyBorder="1"/>
    <xf numFmtId="165" fontId="6" fillId="5" borderId="1" xfId="0" applyNumberFormat="1" applyFont="1" applyFill="1" applyBorder="1" applyAlignment="1">
      <alignment horizontal="center" vertical="center"/>
    </xf>
    <xf numFmtId="165" fontId="6" fillId="6" borderId="1"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164" fontId="2" fillId="0" borderId="0" xfId="0" applyNumberFormat="1" applyFont="1" applyFill="1" applyBorder="1" applyAlignment="1">
      <alignment vertical="center"/>
    </xf>
    <xf numFmtId="164" fontId="2" fillId="0" borderId="5" xfId="0" applyNumberFormat="1" applyFont="1" applyFill="1" applyBorder="1" applyAlignment="1">
      <alignment vertical="center"/>
    </xf>
    <xf numFmtId="165" fontId="6" fillId="6" borderId="1" xfId="0" applyNumberFormat="1" applyFont="1" applyFill="1" applyBorder="1" applyAlignment="1">
      <alignment vertical="center"/>
    </xf>
    <xf numFmtId="165" fontId="6" fillId="0" borderId="8" xfId="0" applyNumberFormat="1" applyFont="1" applyBorder="1" applyAlignment="1">
      <alignment vertical="center"/>
    </xf>
    <xf numFmtId="165" fontId="6" fillId="0" borderId="4" xfId="0" applyNumberFormat="1" applyFont="1" applyBorder="1" applyAlignment="1">
      <alignment vertical="center"/>
    </xf>
    <xf numFmtId="165" fontId="6" fillId="0" borderId="9" xfId="0" applyNumberFormat="1" applyFont="1" applyBorder="1" applyAlignment="1">
      <alignment vertical="center"/>
    </xf>
    <xf numFmtId="165" fontId="6" fillId="0" borderId="11" xfId="0" applyNumberFormat="1" applyFont="1" applyBorder="1" applyAlignment="1">
      <alignment vertical="center"/>
    </xf>
    <xf numFmtId="165" fontId="6" fillId="0" borderId="10" xfId="0" applyNumberFormat="1" applyFont="1" applyBorder="1" applyAlignment="1">
      <alignment vertical="center"/>
    </xf>
    <xf numFmtId="165" fontId="6" fillId="0" borderId="12" xfId="0" applyNumberFormat="1" applyFont="1" applyBorder="1" applyAlignment="1">
      <alignment vertical="center"/>
    </xf>
    <xf numFmtId="0" fontId="2" fillId="0" borderId="13" xfId="0" applyNumberFormat="1" applyFont="1" applyFill="1" applyBorder="1" applyAlignment="1">
      <alignment horizontal="center" wrapText="1"/>
    </xf>
    <xf numFmtId="2" fontId="6" fillId="0" borderId="5" xfId="0" applyNumberFormat="1" applyFont="1" applyBorder="1" applyAlignment="1">
      <alignment vertical="center"/>
    </xf>
    <xf numFmtId="2" fontId="6" fillId="0" borderId="0" xfId="0" applyNumberFormat="1" applyFont="1" applyBorder="1" applyAlignment="1">
      <alignment vertical="center"/>
    </xf>
    <xf numFmtId="2" fontId="6" fillId="0" borderId="6" xfId="0" applyNumberFormat="1" applyFont="1" applyBorder="1" applyAlignment="1">
      <alignment vertical="center"/>
    </xf>
    <xf numFmtId="0" fontId="2" fillId="0" borderId="3" xfId="0" applyNumberFormat="1" applyFont="1" applyFill="1" applyBorder="1" applyAlignment="1">
      <alignment horizontal="left" wrapText="1"/>
    </xf>
    <xf numFmtId="0" fontId="2" fillId="0" borderId="3" xfId="0" quotePrefix="1" applyNumberFormat="1" applyFont="1" applyFill="1" applyBorder="1" applyAlignment="1">
      <alignment horizontal="left" wrapText="1"/>
    </xf>
    <xf numFmtId="0" fontId="2" fillId="0" borderId="8" xfId="0" applyNumberFormat="1" applyFont="1" applyFill="1" applyBorder="1" applyAlignment="1">
      <alignment horizontal="center" wrapText="1"/>
    </xf>
    <xf numFmtId="165" fontId="1" fillId="0" borderId="5" xfId="0" applyNumberFormat="1" applyFont="1" applyBorder="1" applyAlignment="1">
      <alignment vertical="center"/>
    </xf>
    <xf numFmtId="0" fontId="2" fillId="0" borderId="14" xfId="0" applyNumberFormat="1" applyFont="1" applyFill="1" applyBorder="1" applyAlignment="1">
      <alignment horizontal="center" wrapText="1"/>
    </xf>
    <xf numFmtId="0" fontId="2" fillId="0" borderId="15" xfId="0" applyNumberFormat="1" applyFont="1" applyFill="1" applyBorder="1" applyAlignment="1">
      <alignment horizontal="center" wrapText="1"/>
    </xf>
    <xf numFmtId="0" fontId="2" fillId="0" borderId="16" xfId="0" applyNumberFormat="1" applyFont="1" applyFill="1" applyBorder="1" applyAlignment="1">
      <alignment horizontal="left" wrapText="1"/>
    </xf>
    <xf numFmtId="165" fontId="6" fillId="6" borderId="3" xfId="0" applyNumberFormat="1" applyFont="1" applyFill="1" applyBorder="1" applyAlignment="1">
      <alignment vertical="center"/>
    </xf>
    <xf numFmtId="165" fontId="6" fillId="6" borderId="7" xfId="0" applyNumberFormat="1" applyFont="1" applyFill="1" applyBorder="1" applyAlignment="1">
      <alignment vertical="center"/>
    </xf>
    <xf numFmtId="165" fontId="6" fillId="6" borderId="17" xfId="0" applyNumberFormat="1" applyFont="1" applyFill="1" applyBorder="1" applyAlignment="1">
      <alignment vertical="center"/>
    </xf>
    <xf numFmtId="165" fontId="6" fillId="6" borderId="18" xfId="0" applyNumberFormat="1" applyFont="1" applyFill="1" applyBorder="1" applyAlignment="1">
      <alignment horizontal="center" vertical="center"/>
    </xf>
    <xf numFmtId="165" fontId="6" fillId="6" borderId="19" xfId="0" applyNumberFormat="1" applyFont="1" applyFill="1" applyBorder="1" applyAlignment="1">
      <alignment horizontal="center" vertical="center"/>
    </xf>
    <xf numFmtId="165" fontId="6" fillId="6" borderId="20" xfId="0" applyNumberFormat="1" applyFont="1" applyFill="1" applyBorder="1" applyAlignment="1">
      <alignment horizontal="center" vertical="center"/>
    </xf>
    <xf numFmtId="165" fontId="6" fillId="5" borderId="21" xfId="0" applyNumberFormat="1" applyFont="1" applyFill="1" applyBorder="1" applyAlignment="1">
      <alignment horizontal="center" vertical="center"/>
    </xf>
    <xf numFmtId="165" fontId="6" fillId="5" borderId="19" xfId="0" applyNumberFormat="1" applyFont="1" applyFill="1" applyBorder="1" applyAlignment="1">
      <alignment horizontal="center" vertical="center"/>
    </xf>
    <xf numFmtId="165" fontId="6" fillId="2" borderId="19" xfId="0" applyNumberFormat="1" applyFont="1" applyFill="1" applyBorder="1" applyAlignment="1">
      <alignment horizontal="center" vertical="center"/>
    </xf>
    <xf numFmtId="165" fontId="6" fillId="5" borderId="3" xfId="0" applyNumberFormat="1" applyFont="1" applyFill="1" applyBorder="1" applyAlignment="1">
      <alignment vertical="center"/>
    </xf>
    <xf numFmtId="165" fontId="6" fillId="5" borderId="7" xfId="0" applyNumberFormat="1" applyFont="1" applyFill="1" applyBorder="1" applyAlignment="1">
      <alignment vertical="center"/>
    </xf>
    <xf numFmtId="165" fontId="6" fillId="5" borderId="17" xfId="0" applyNumberFormat="1" applyFont="1" applyFill="1" applyBorder="1" applyAlignment="1">
      <alignment vertical="center"/>
    </xf>
    <xf numFmtId="165" fontId="6" fillId="6" borderId="22" xfId="0" applyNumberFormat="1" applyFont="1" applyFill="1" applyBorder="1" applyAlignment="1">
      <alignment vertical="center"/>
    </xf>
    <xf numFmtId="165" fontId="6" fillId="6" borderId="23" xfId="0" applyNumberFormat="1" applyFont="1" applyFill="1" applyBorder="1" applyAlignment="1">
      <alignment vertical="center"/>
    </xf>
    <xf numFmtId="165" fontId="6" fillId="5" borderId="22" xfId="0" applyNumberFormat="1" applyFont="1" applyFill="1" applyBorder="1" applyAlignment="1">
      <alignment vertical="center"/>
    </xf>
    <xf numFmtId="165" fontId="6" fillId="2" borderId="22" xfId="0" applyNumberFormat="1" applyFont="1" applyFill="1" applyBorder="1" applyAlignment="1">
      <alignment vertical="center"/>
    </xf>
    <xf numFmtId="165" fontId="6" fillId="2" borderId="24" xfId="0" applyNumberFormat="1" applyFont="1" applyFill="1" applyBorder="1" applyAlignment="1">
      <alignment vertical="center"/>
    </xf>
    <xf numFmtId="165" fontId="6" fillId="7" borderId="1" xfId="0" applyNumberFormat="1" applyFont="1" applyFill="1" applyBorder="1" applyAlignment="1">
      <alignment horizontal="center" vertical="center"/>
    </xf>
    <xf numFmtId="166" fontId="3" fillId="0" borderId="0" xfId="0" applyNumberFormat="1" applyFont="1" applyFill="1" applyBorder="1" applyAlignment="1">
      <alignment horizontal="center"/>
    </xf>
    <xf numFmtId="167" fontId="3" fillId="0" borderId="0" xfId="0" applyNumberFormat="1" applyFont="1" applyFill="1" applyBorder="1" applyAlignment="1">
      <alignment horizontal="left"/>
    </xf>
    <xf numFmtId="167" fontId="3" fillId="0" borderId="5" xfId="0" applyNumberFormat="1" applyFont="1" applyFill="1" applyBorder="1" applyAlignment="1">
      <alignment horizontal="left"/>
    </xf>
    <xf numFmtId="167" fontId="3" fillId="0" borderId="6" xfId="0" applyNumberFormat="1" applyFont="1" applyFill="1" applyBorder="1" applyAlignment="1">
      <alignment horizontal="left"/>
    </xf>
    <xf numFmtId="165" fontId="8" fillId="0" borderId="8" xfId="0" applyNumberFormat="1" applyFont="1" applyBorder="1" applyAlignment="1">
      <alignment vertical="center"/>
    </xf>
    <xf numFmtId="165" fontId="8" fillId="0" borderId="5" xfId="0" applyNumberFormat="1" applyFont="1" applyBorder="1" applyAlignment="1">
      <alignment vertical="center"/>
    </xf>
    <xf numFmtId="165" fontId="8" fillId="0" borderId="4" xfId="0" applyNumberFormat="1" applyFont="1" applyBorder="1" applyAlignment="1">
      <alignment vertical="center"/>
    </xf>
    <xf numFmtId="165" fontId="8" fillId="0" borderId="9" xfId="0" applyNumberFormat="1" applyFont="1" applyBorder="1" applyAlignment="1">
      <alignment vertical="center"/>
    </xf>
    <xf numFmtId="165" fontId="8" fillId="0" borderId="0" xfId="0" applyNumberFormat="1" applyFont="1" applyBorder="1" applyAlignment="1">
      <alignment vertical="center"/>
    </xf>
    <xf numFmtId="165" fontId="8" fillId="0" borderId="11" xfId="0" applyNumberFormat="1" applyFont="1" applyBorder="1" applyAlignment="1">
      <alignment vertical="center"/>
    </xf>
    <xf numFmtId="165" fontId="8" fillId="0" borderId="10" xfId="0" applyNumberFormat="1" applyFont="1" applyBorder="1" applyAlignment="1">
      <alignment vertical="center"/>
    </xf>
    <xf numFmtId="165" fontId="8" fillId="0" borderId="6" xfId="0" applyNumberFormat="1" applyFont="1" applyBorder="1" applyAlignment="1">
      <alignment vertical="center"/>
    </xf>
    <xf numFmtId="165" fontId="8" fillId="0" borderId="12" xfId="0" applyNumberFormat="1" applyFont="1" applyBorder="1" applyAlignment="1">
      <alignment vertical="center"/>
    </xf>
    <xf numFmtId="165" fontId="8" fillId="5" borderId="1" xfId="0" applyNumberFormat="1" applyFont="1" applyFill="1" applyBorder="1" applyAlignment="1">
      <alignment vertical="center"/>
    </xf>
    <xf numFmtId="165" fontId="8" fillId="6" borderId="1" xfId="0" applyNumberFormat="1" applyFont="1" applyFill="1" applyBorder="1" applyAlignment="1">
      <alignment vertical="center"/>
    </xf>
    <xf numFmtId="165" fontId="8" fillId="2" borderId="1" xfId="0" applyNumberFormat="1" applyFont="1" applyFill="1" applyBorder="1" applyAlignment="1">
      <alignment vertical="center"/>
    </xf>
    <xf numFmtId="164" fontId="3" fillId="0" borderId="4" xfId="0" applyNumberFormat="1" applyFont="1" applyFill="1" applyBorder="1"/>
    <xf numFmtId="164" fontId="3" fillId="0" borderId="11" xfId="0" applyNumberFormat="1" applyFont="1" applyBorder="1"/>
    <xf numFmtId="164" fontId="3" fillId="0" borderId="12" xfId="0" applyNumberFormat="1" applyFont="1" applyFill="1" applyBorder="1"/>
    <xf numFmtId="164" fontId="3" fillId="0" borderId="4" xfId="0" applyNumberFormat="1" applyFont="1" applyBorder="1"/>
    <xf numFmtId="164" fontId="3" fillId="0" borderId="11" xfId="0" applyNumberFormat="1" applyFont="1" applyFill="1" applyBorder="1"/>
    <xf numFmtId="0" fontId="3" fillId="0" borderId="8" xfId="0" applyFont="1" applyFill="1" applyBorder="1"/>
    <xf numFmtId="0" fontId="3" fillId="0" borderId="9" xfId="0" applyFont="1" applyFill="1" applyBorder="1"/>
    <xf numFmtId="0" fontId="3" fillId="0" borderId="10" xfId="0" applyFont="1" applyFill="1" applyBorder="1"/>
    <xf numFmtId="0" fontId="2" fillId="0" borderId="1" xfId="0" applyFont="1" applyFill="1" applyBorder="1" applyAlignment="1">
      <alignment horizontal="left" wrapText="1"/>
    </xf>
    <xf numFmtId="2" fontId="0" fillId="0" borderId="1" xfId="0" applyNumberFormat="1" applyFill="1" applyBorder="1"/>
    <xf numFmtId="165" fontId="8" fillId="0" borderId="0" xfId="0" applyNumberFormat="1" applyFont="1" applyFill="1" applyBorder="1" applyAlignment="1">
      <alignment vertical="center"/>
    </xf>
    <xf numFmtId="2" fontId="3" fillId="0" borderId="1" xfId="0" applyNumberFormat="1" applyFont="1" applyFill="1" applyBorder="1" applyAlignment="1">
      <alignment horizontal="center"/>
    </xf>
    <xf numFmtId="2" fontId="8" fillId="0" borderId="0" xfId="0" applyNumberFormat="1" applyFont="1" applyFill="1" applyBorder="1" applyAlignment="1">
      <alignment vertical="center"/>
    </xf>
    <xf numFmtId="0" fontId="3" fillId="0" borderId="5" xfId="0" applyFont="1" applyFill="1" applyBorder="1" applyAlignment="1">
      <alignment wrapText="1"/>
    </xf>
    <xf numFmtId="0" fontId="3" fillId="0" borderId="25" xfId="0" applyFont="1" applyFill="1" applyBorder="1" applyAlignment="1">
      <alignment wrapText="1"/>
    </xf>
    <xf numFmtId="165" fontId="6" fillId="0" borderId="8" xfId="0" applyNumberFormat="1" applyFont="1" applyFill="1" applyBorder="1" applyAlignment="1">
      <alignment vertical="center"/>
    </xf>
    <xf numFmtId="165" fontId="6" fillId="0" borderId="5" xfId="0" applyNumberFormat="1" applyFont="1" applyFill="1" applyBorder="1" applyAlignment="1">
      <alignment vertical="center"/>
    </xf>
    <xf numFmtId="165" fontId="6" fillId="0" borderId="4" xfId="0" applyNumberFormat="1" applyFont="1" applyFill="1" applyBorder="1" applyAlignment="1">
      <alignment vertical="center"/>
    </xf>
    <xf numFmtId="165" fontId="6" fillId="0" borderId="9" xfId="0" applyNumberFormat="1" applyFont="1" applyFill="1" applyBorder="1" applyAlignment="1">
      <alignment vertical="center"/>
    </xf>
    <xf numFmtId="165" fontId="6" fillId="0" borderId="0" xfId="0" applyNumberFormat="1" applyFont="1" applyFill="1" applyBorder="1" applyAlignment="1">
      <alignment vertical="center"/>
    </xf>
    <xf numFmtId="165" fontId="6" fillId="0" borderId="11" xfId="0" applyNumberFormat="1" applyFont="1" applyFill="1" applyBorder="1" applyAlignment="1">
      <alignment vertical="center"/>
    </xf>
    <xf numFmtId="165" fontId="6" fillId="0" borderId="10" xfId="0" applyNumberFormat="1" applyFont="1" applyFill="1" applyBorder="1" applyAlignment="1">
      <alignment vertical="center"/>
    </xf>
    <xf numFmtId="165" fontId="6" fillId="0" borderId="6" xfId="0" applyNumberFormat="1" applyFont="1" applyFill="1" applyBorder="1" applyAlignment="1">
      <alignment vertical="center"/>
    </xf>
    <xf numFmtId="165" fontId="6" fillId="0" borderId="12" xfId="0" applyNumberFormat="1" applyFont="1" applyFill="1" applyBorder="1" applyAlignment="1">
      <alignment vertical="center"/>
    </xf>
    <xf numFmtId="0" fontId="0" fillId="0" borderId="0" xfId="0" applyAlignment="1">
      <alignment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xf numFmtId="164" fontId="0" fillId="0" borderId="1" xfId="0" applyNumberFormat="1" applyBorder="1"/>
    <xf numFmtId="0" fontId="2" fillId="0" borderId="0" xfId="0" applyFont="1"/>
    <xf numFmtId="2" fontId="2" fillId="0" borderId="1" xfId="0" applyNumberFormat="1" applyFont="1" applyFill="1" applyBorder="1" applyAlignment="1">
      <alignment horizontal="center" vertical="center"/>
    </xf>
    <xf numFmtId="0" fontId="2" fillId="0" borderId="3" xfId="0" applyFont="1" applyFill="1" applyBorder="1" applyAlignment="1">
      <alignment horizontal="left" wrapText="1"/>
    </xf>
    <xf numFmtId="165" fontId="6" fillId="0" borderId="13" xfId="0" applyNumberFormat="1" applyFont="1" applyBorder="1" applyAlignment="1">
      <alignment vertical="center"/>
    </xf>
    <xf numFmtId="165" fontId="0" fillId="0" borderId="0" xfId="0" applyNumberFormat="1" applyBorder="1"/>
    <xf numFmtId="165" fontId="0" fillId="0" borderId="6" xfId="0" applyNumberFormat="1" applyBorder="1"/>
    <xf numFmtId="165" fontId="0" fillId="0" borderId="5" xfId="0" applyNumberFormat="1" applyBorder="1"/>
    <xf numFmtId="165" fontId="6" fillId="0" borderId="2" xfId="0" applyNumberFormat="1" applyFont="1" applyBorder="1" applyAlignment="1">
      <alignment vertical="center"/>
    </xf>
    <xf numFmtId="165" fontId="6" fillId="0" borderId="26" xfId="0" applyNumberFormat="1" applyFont="1" applyBorder="1" applyAlignment="1">
      <alignment vertical="center"/>
    </xf>
    <xf numFmtId="165" fontId="0" fillId="0" borderId="26" xfId="0" applyNumberFormat="1" applyBorder="1"/>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3" fillId="0" borderId="26" xfId="0" applyFont="1" applyFill="1" applyBorder="1"/>
    <xf numFmtId="0" fontId="3" fillId="0" borderId="26" xfId="0" applyFont="1" applyFill="1" applyBorder="1" applyAlignment="1">
      <alignment horizontal="center"/>
    </xf>
    <xf numFmtId="0" fontId="0" fillId="0" borderId="26" xfId="0" applyBorder="1" applyAlignment="1">
      <alignment horizontal="center"/>
    </xf>
    <xf numFmtId="0" fontId="3" fillId="0" borderId="2" xfId="0" applyNumberFormat="1" applyFont="1" applyFill="1" applyBorder="1" applyAlignment="1">
      <alignment horizontal="left"/>
    </xf>
    <xf numFmtId="0" fontId="3" fillId="0" borderId="26" xfId="0" applyFont="1" applyFill="1" applyBorder="1" applyAlignment="1">
      <alignment horizontal="left"/>
    </xf>
    <xf numFmtId="0" fontId="1" fillId="0" borderId="26" xfId="0" applyFont="1" applyFill="1" applyBorder="1" applyAlignment="1">
      <alignment horizontal="left"/>
    </xf>
    <xf numFmtId="164" fontId="3" fillId="0" borderId="13" xfId="0" applyNumberFormat="1" applyFont="1" applyFill="1" applyBorder="1"/>
    <xf numFmtId="165" fontId="6" fillId="5" borderId="13" xfId="0" applyNumberFormat="1" applyFont="1" applyFill="1" applyBorder="1" applyAlignment="1">
      <alignment vertical="center"/>
    </xf>
    <xf numFmtId="165" fontId="0" fillId="5" borderId="1" xfId="0" applyNumberFormat="1" applyFill="1" applyBorder="1"/>
    <xf numFmtId="165" fontId="6" fillId="6" borderId="13" xfId="0" applyNumberFormat="1" applyFont="1" applyFill="1" applyBorder="1" applyAlignment="1">
      <alignment vertical="center"/>
    </xf>
    <xf numFmtId="165" fontId="0" fillId="6" borderId="1" xfId="0" applyNumberFormat="1" applyFill="1" applyBorder="1"/>
    <xf numFmtId="165" fontId="6" fillId="2" borderId="13" xfId="0" applyNumberFormat="1" applyFont="1" applyFill="1" applyBorder="1" applyAlignment="1">
      <alignment vertical="center"/>
    </xf>
    <xf numFmtId="165" fontId="10" fillId="6" borderId="1" xfId="0" applyNumberFormat="1" applyFont="1" applyFill="1" applyBorder="1" applyAlignment="1">
      <alignment horizontal="center" vertical="center"/>
    </xf>
    <xf numFmtId="165" fontId="10" fillId="5"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Fill="1"/>
    <xf numFmtId="164" fontId="10" fillId="0" borderId="1" xfId="0" applyNumberFormat="1" applyFont="1" applyFill="1" applyBorder="1" applyAlignment="1">
      <alignment horizontal="center" vertical="center"/>
    </xf>
    <xf numFmtId="0" fontId="11" fillId="0" borderId="0" xfId="0" applyFont="1" applyAlignment="1">
      <alignment horizontal="left"/>
    </xf>
    <xf numFmtId="0" fontId="13" fillId="0" borderId="1" xfId="0" applyFont="1" applyBorder="1" applyAlignment="1">
      <alignment vertical="center" wrapText="1"/>
    </xf>
    <xf numFmtId="0" fontId="15" fillId="0" borderId="1" xfId="0" applyFont="1" applyFill="1" applyBorder="1" applyAlignment="1">
      <alignment horizontal="center" vertical="center"/>
    </xf>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xf>
    <xf numFmtId="2" fontId="1" fillId="0" borderId="1" xfId="0" applyNumberFormat="1" applyFont="1" applyFill="1" applyBorder="1" applyAlignment="1" applyProtection="1">
      <alignment horizontal="center" vertical="center"/>
    </xf>
    <xf numFmtId="0" fontId="15" fillId="0" borderId="0" xfId="0" applyFont="1" applyAlignment="1">
      <alignment vertical="center" wrapText="1"/>
    </xf>
    <xf numFmtId="0" fontId="0" fillId="0" borderId="0" xfId="0" applyAlignment="1">
      <alignment horizontal="left"/>
    </xf>
    <xf numFmtId="0" fontId="1" fillId="0" borderId="0" xfId="0" applyFont="1" applyFill="1" applyBorder="1" applyAlignment="1">
      <alignment horizontal="center"/>
    </xf>
    <xf numFmtId="0" fontId="1" fillId="0" borderId="0" xfId="0" applyFont="1" applyFill="1" applyBorder="1"/>
    <xf numFmtId="0" fontId="1" fillId="0" borderId="8" xfId="0" applyNumberFormat="1" applyFont="1" applyFill="1" applyBorder="1" applyAlignment="1">
      <alignment horizontal="left"/>
    </xf>
    <xf numFmtId="0" fontId="1" fillId="0" borderId="5" xfId="0" applyNumberFormat="1" applyFont="1" applyFill="1" applyBorder="1" applyAlignment="1">
      <alignment horizontal="left"/>
    </xf>
    <xf numFmtId="167" fontId="1" fillId="0" borderId="5" xfId="0" applyNumberFormat="1" applyFont="1" applyFill="1" applyBorder="1" applyAlignment="1">
      <alignment horizontal="left"/>
    </xf>
    <xf numFmtId="0" fontId="1" fillId="0" borderId="5" xfId="0" applyNumberFormat="1" applyFont="1" applyFill="1" applyBorder="1" applyAlignment="1">
      <alignment horizontal="center"/>
    </xf>
    <xf numFmtId="0" fontId="1" fillId="0" borderId="5" xfId="0" applyFont="1" applyFill="1" applyBorder="1" applyAlignment="1">
      <alignment horizontal="center"/>
    </xf>
    <xf numFmtId="164" fontId="1" fillId="0" borderId="4" xfId="0" applyNumberFormat="1" applyFont="1" applyFill="1" applyBorder="1"/>
    <xf numFmtId="0" fontId="1" fillId="0" borderId="9" xfId="0" applyNumberFormat="1" applyFont="1" applyFill="1" applyBorder="1" applyAlignment="1">
      <alignment horizontal="left"/>
    </xf>
    <xf numFmtId="0" fontId="1" fillId="0" borderId="0" xfId="0" applyNumberFormat="1" applyFont="1" applyFill="1" applyBorder="1" applyAlignment="1">
      <alignment horizontal="left"/>
    </xf>
    <xf numFmtId="167" fontId="1" fillId="0" borderId="0" xfId="0" applyNumberFormat="1" applyFont="1" applyFill="1" applyBorder="1" applyAlignment="1">
      <alignment horizontal="left"/>
    </xf>
    <xf numFmtId="0" fontId="1" fillId="0" borderId="0" xfId="0" applyNumberFormat="1" applyFont="1" applyFill="1" applyBorder="1" applyAlignment="1">
      <alignment horizontal="center"/>
    </xf>
    <xf numFmtId="164" fontId="1" fillId="0" borderId="11" xfId="0" applyNumberFormat="1" applyFont="1" applyBorder="1"/>
    <xf numFmtId="0" fontId="1" fillId="0" borderId="10" xfId="0" applyNumberFormat="1" applyFont="1" applyFill="1" applyBorder="1" applyAlignment="1">
      <alignment horizontal="left"/>
    </xf>
    <xf numFmtId="0" fontId="1" fillId="0" borderId="6" xfId="0" applyNumberFormat="1" applyFont="1" applyFill="1" applyBorder="1" applyAlignment="1">
      <alignment horizontal="left"/>
    </xf>
    <xf numFmtId="167" fontId="1" fillId="0" borderId="6" xfId="0" applyNumberFormat="1" applyFont="1" applyFill="1" applyBorder="1" applyAlignment="1">
      <alignment horizontal="left"/>
    </xf>
    <xf numFmtId="0" fontId="1" fillId="0" borderId="6" xfId="0" applyNumberFormat="1" applyFont="1" applyFill="1" applyBorder="1" applyAlignment="1">
      <alignment horizontal="center"/>
    </xf>
    <xf numFmtId="0" fontId="1" fillId="0" borderId="6" xfId="0" applyFont="1" applyFill="1" applyBorder="1" applyAlignment="1">
      <alignment horizontal="center"/>
    </xf>
    <xf numFmtId="164" fontId="1" fillId="0" borderId="12" xfId="0" applyNumberFormat="1" applyFont="1" applyFill="1" applyBorder="1"/>
    <xf numFmtId="164" fontId="1" fillId="0" borderId="4" xfId="0" applyNumberFormat="1" applyFont="1" applyBorder="1"/>
    <xf numFmtId="164" fontId="1" fillId="0" borderId="11" xfId="0" applyNumberFormat="1" applyFont="1" applyFill="1" applyBorder="1"/>
    <xf numFmtId="0" fontId="1" fillId="0" borderId="5" xfId="0" quotePrefix="1" applyNumberFormat="1" applyFont="1" applyFill="1" applyBorder="1" applyAlignment="1">
      <alignment horizontal="left"/>
    </xf>
    <xf numFmtId="0" fontId="1" fillId="0" borderId="0" xfId="0" quotePrefix="1" applyNumberFormat="1" applyFont="1" applyFill="1" applyBorder="1" applyAlignment="1">
      <alignment horizontal="left"/>
    </xf>
    <xf numFmtId="0" fontId="1" fillId="0" borderId="6" xfId="0" quotePrefix="1" applyNumberFormat="1" applyFont="1" applyFill="1" applyBorder="1" applyAlignment="1">
      <alignment horizontal="left"/>
    </xf>
    <xf numFmtId="0" fontId="1" fillId="0" borderId="5" xfId="0" applyFont="1" applyFill="1" applyBorder="1" applyAlignment="1">
      <alignment horizontal="left"/>
    </xf>
    <xf numFmtId="0" fontId="1" fillId="0" borderId="0" xfId="0" applyFont="1" applyFill="1" applyBorder="1" applyAlignment="1">
      <alignment horizontal="left"/>
    </xf>
    <xf numFmtId="0" fontId="1" fillId="0" borderId="6" xfId="0" applyFont="1" applyFill="1" applyBorder="1" applyAlignment="1">
      <alignment horizontal="left"/>
    </xf>
    <xf numFmtId="0" fontId="1" fillId="0" borderId="5" xfId="0" applyFont="1" applyFill="1" applyBorder="1"/>
    <xf numFmtId="1" fontId="1" fillId="0" borderId="5" xfId="0" applyNumberFormat="1" applyFont="1" applyFill="1" applyBorder="1" applyAlignment="1">
      <alignment horizontal="center"/>
    </xf>
    <xf numFmtId="1" fontId="1" fillId="0" borderId="0" xfId="0" applyNumberFormat="1" applyFont="1" applyFill="1" applyBorder="1" applyAlignment="1">
      <alignment horizontal="center"/>
    </xf>
    <xf numFmtId="0" fontId="1" fillId="0" borderId="6" xfId="0" applyFont="1" applyFill="1" applyBorder="1"/>
    <xf numFmtId="1" fontId="1" fillId="0" borderId="6" xfId="0" applyNumberFormat="1" applyFont="1" applyFill="1" applyBorder="1" applyAlignment="1">
      <alignment horizontal="center"/>
    </xf>
    <xf numFmtId="0" fontId="1" fillId="0" borderId="8" xfId="0" applyFont="1" applyFill="1" applyBorder="1"/>
    <xf numFmtId="0" fontId="1" fillId="0" borderId="9" xfId="0" applyFont="1" applyFill="1" applyBorder="1"/>
    <xf numFmtId="0" fontId="1" fillId="0" borderId="10" xfId="0" applyFont="1" applyFill="1" applyBorder="1"/>
    <xf numFmtId="0" fontId="1" fillId="0" borderId="2" xfId="0" applyNumberFormat="1" applyFont="1" applyFill="1" applyBorder="1" applyAlignment="1">
      <alignment horizontal="left"/>
    </xf>
    <xf numFmtId="0" fontId="1" fillId="0" borderId="26" xfId="0" applyFont="1" applyFill="1" applyBorder="1"/>
    <xf numFmtId="0" fontId="1" fillId="0" borderId="26" xfId="0" applyFont="1" applyFill="1" applyBorder="1" applyAlignment="1">
      <alignment horizontal="center"/>
    </xf>
    <xf numFmtId="164" fontId="1" fillId="0" borderId="13" xfId="0" applyNumberFormat="1" applyFont="1" applyFill="1" applyBorder="1"/>
    <xf numFmtId="0" fontId="1" fillId="0" borderId="0" xfId="0" quotePrefix="1" applyNumberFormat="1" applyFont="1" applyFill="1" applyBorder="1"/>
    <xf numFmtId="165" fontId="6" fillId="0" borderId="1" xfId="0" applyNumberFormat="1" applyFont="1" applyBorder="1" applyAlignment="1">
      <alignment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17" fillId="0" borderId="0" xfId="0" applyFont="1" applyAlignment="1">
      <alignment vertical="center"/>
    </xf>
    <xf numFmtId="165" fontId="17" fillId="6" borderId="1" xfId="0" applyNumberFormat="1" applyFont="1" applyFill="1" applyBorder="1" applyAlignment="1">
      <alignment vertical="center"/>
    </xf>
    <xf numFmtId="165" fontId="17" fillId="2" borderId="1" xfId="0" applyNumberFormat="1" applyFont="1" applyFill="1" applyBorder="1" applyAlignment="1">
      <alignment vertical="center"/>
    </xf>
    <xf numFmtId="165" fontId="17" fillId="7" borderId="1" xfId="0" applyNumberFormat="1" applyFont="1" applyFill="1" applyBorder="1" applyAlignment="1">
      <alignment vertical="center"/>
    </xf>
    <xf numFmtId="165" fontId="17" fillId="6" borderId="1" xfId="0" applyNumberFormat="1" applyFont="1" applyFill="1" applyBorder="1" applyAlignment="1">
      <alignment horizontal="center" vertical="center"/>
    </xf>
    <xf numFmtId="165" fontId="17" fillId="2" borderId="1" xfId="0" applyNumberFormat="1" applyFont="1" applyFill="1" applyBorder="1" applyAlignment="1">
      <alignment horizontal="center" vertical="center"/>
    </xf>
    <xf numFmtId="165" fontId="6" fillId="0" borderId="1" xfId="0" applyNumberFormat="1" applyFont="1" applyFill="1" applyBorder="1" applyAlignment="1">
      <alignment vertical="center"/>
    </xf>
    <xf numFmtId="0" fontId="0" fillId="0" borderId="1" xfId="0" applyFill="1" applyBorder="1"/>
    <xf numFmtId="165" fontId="17" fillId="7" borderId="1" xfId="0" applyNumberFormat="1" applyFont="1" applyFill="1" applyBorder="1" applyAlignment="1">
      <alignment vertical="center" wrapText="1"/>
    </xf>
    <xf numFmtId="165" fontId="17" fillId="0" borderId="1" xfId="0" applyNumberFormat="1" applyFont="1" applyBorder="1" applyAlignment="1">
      <alignment vertical="center"/>
    </xf>
    <xf numFmtId="165" fontId="0" fillId="0" borderId="1" xfId="0" applyNumberFormat="1" applyBorder="1"/>
    <xf numFmtId="165" fontId="0" fillId="0" borderId="1" xfId="0" applyNumberFormat="1" applyFill="1" applyBorder="1"/>
    <xf numFmtId="165" fontId="17" fillId="9" borderId="1" xfId="0" applyNumberFormat="1" applyFont="1" applyFill="1" applyBorder="1" applyAlignment="1">
      <alignment vertical="center"/>
    </xf>
    <xf numFmtId="165" fontId="9" fillId="9" borderId="1" xfId="0" applyNumberFormat="1" applyFont="1" applyFill="1" applyBorder="1" applyAlignment="1">
      <alignment horizontal="center" vertical="center"/>
    </xf>
    <xf numFmtId="165" fontId="17" fillId="10" borderId="1" xfId="0" applyNumberFormat="1" applyFont="1" applyFill="1" applyBorder="1" applyAlignment="1">
      <alignment vertical="center"/>
    </xf>
    <xf numFmtId="165" fontId="9" fillId="10" borderId="1" xfId="0" applyNumberFormat="1" applyFont="1" applyFill="1" applyBorder="1" applyAlignment="1">
      <alignment horizontal="center" vertical="center"/>
    </xf>
    <xf numFmtId="165" fontId="17" fillId="11" borderId="1" xfId="0" applyNumberFormat="1" applyFont="1" applyFill="1" applyBorder="1" applyAlignment="1">
      <alignment vertical="center"/>
    </xf>
    <xf numFmtId="167" fontId="1" fillId="0" borderId="26" xfId="0" applyNumberFormat="1" applyFont="1" applyFill="1" applyBorder="1" applyAlignment="1">
      <alignment horizontal="left"/>
    </xf>
    <xf numFmtId="0" fontId="17" fillId="0" borderId="1" xfId="0" applyFont="1" applyBorder="1" applyAlignment="1">
      <alignment vertical="center"/>
    </xf>
    <xf numFmtId="0" fontId="0" fillId="11" borderId="1" xfId="0" applyFill="1" applyBorder="1"/>
    <xf numFmtId="0" fontId="0" fillId="11" borderId="1" xfId="0" applyFill="1" applyBorder="1" applyAlignment="1">
      <alignment horizontal="center" vertical="center"/>
    </xf>
    <xf numFmtId="0" fontId="0" fillId="9" borderId="1" xfId="0" applyFill="1" applyBorder="1" applyAlignment="1">
      <alignment horizontal="center" vertical="center"/>
    </xf>
    <xf numFmtId="165" fontId="9" fillId="11" borderId="1" xfId="0" applyNumberFormat="1" applyFont="1" applyFill="1" applyBorder="1" applyAlignment="1">
      <alignment horizontal="center" vertical="center"/>
    </xf>
    <xf numFmtId="0" fontId="0" fillId="9" borderId="1" xfId="0" applyFill="1" applyBorder="1"/>
    <xf numFmtId="0" fontId="0" fillId="10" borderId="1" xfId="0" applyFill="1" applyBorder="1"/>
    <xf numFmtId="0" fontId="17" fillId="0" borderId="1" xfId="0" applyFont="1" applyFill="1" applyBorder="1" applyAlignment="1">
      <alignment vertical="center"/>
    </xf>
    <xf numFmtId="165" fontId="17" fillId="0" borderId="1" xfId="0" applyNumberFormat="1" applyFont="1" applyFill="1" applyBorder="1" applyAlignment="1">
      <alignment vertical="center"/>
    </xf>
    <xf numFmtId="0" fontId="1" fillId="0" borderId="0" xfId="0" applyFont="1" applyAlignment="1">
      <alignment wrapText="1"/>
    </xf>
    <xf numFmtId="165" fontId="6" fillId="11" borderId="1" xfId="0" applyNumberFormat="1" applyFont="1" applyFill="1" applyBorder="1" applyAlignment="1">
      <alignment vertical="center"/>
    </xf>
    <xf numFmtId="165" fontId="6" fillId="9" borderId="1" xfId="0" applyNumberFormat="1" applyFont="1" applyFill="1" applyBorder="1" applyAlignment="1">
      <alignment vertical="center"/>
    </xf>
    <xf numFmtId="165" fontId="6" fillId="10" borderId="1" xfId="0" applyNumberFormat="1" applyFont="1" applyFill="1" applyBorder="1" applyAlignment="1">
      <alignment vertical="center"/>
    </xf>
    <xf numFmtId="165" fontId="2" fillId="9" borderId="1" xfId="0" applyNumberFormat="1" applyFont="1" applyFill="1" applyBorder="1" applyAlignment="1">
      <alignment horizontal="center" vertical="center"/>
    </xf>
    <xf numFmtId="165" fontId="17" fillId="0" borderId="0" xfId="0" applyNumberFormat="1" applyFont="1" applyAlignment="1">
      <alignment vertical="center"/>
    </xf>
    <xf numFmtId="165" fontId="1" fillId="9" borderId="1" xfId="0" applyNumberFormat="1" applyFont="1" applyFill="1" applyBorder="1" applyAlignment="1">
      <alignment vertical="center"/>
    </xf>
    <xf numFmtId="0" fontId="6" fillId="0" borderId="1" xfId="0" applyFont="1" applyBorder="1" applyAlignment="1">
      <alignment vertical="center"/>
    </xf>
    <xf numFmtId="0" fontId="2" fillId="0" borderId="0" xfId="0" applyFont="1" applyAlignment="1">
      <alignment wrapText="1"/>
    </xf>
    <xf numFmtId="165" fontId="6" fillId="10" borderId="1" xfId="0" applyNumberFormat="1" applyFont="1" applyFill="1" applyBorder="1" applyAlignment="1">
      <alignment horizontal="center" vertical="center"/>
    </xf>
    <xf numFmtId="165" fontId="6" fillId="9" borderId="1" xfId="0" applyNumberFormat="1" applyFont="1" applyFill="1" applyBorder="1" applyAlignment="1">
      <alignment horizontal="center" vertical="center"/>
    </xf>
    <xf numFmtId="164" fontId="10" fillId="0" borderId="13" xfId="0" applyNumberFormat="1" applyFont="1" applyFill="1" applyBorder="1" applyAlignment="1">
      <alignment horizontal="center" vertical="center"/>
    </xf>
    <xf numFmtId="165" fontId="17" fillId="0" borderId="0" xfId="0" applyNumberFormat="1" applyFont="1" applyBorder="1" applyAlignment="1">
      <alignment vertical="center"/>
    </xf>
    <xf numFmtId="165" fontId="17" fillId="0" borderId="8" xfId="0" applyNumberFormat="1" applyFont="1" applyBorder="1" applyAlignment="1">
      <alignment vertical="center"/>
    </xf>
    <xf numFmtId="165" fontId="17" fillId="0" borderId="5" xfId="0" applyNumberFormat="1" applyFont="1" applyBorder="1" applyAlignment="1">
      <alignment vertical="center"/>
    </xf>
    <xf numFmtId="165" fontId="17" fillId="0" borderId="9" xfId="0" applyNumberFormat="1" applyFont="1" applyBorder="1" applyAlignment="1">
      <alignment vertical="center"/>
    </xf>
    <xf numFmtId="165" fontId="17" fillId="0" borderId="10" xfId="0" applyNumberFormat="1" applyFont="1" applyBorder="1" applyAlignment="1">
      <alignment vertical="center"/>
    </xf>
    <xf numFmtId="165" fontId="17" fillId="0" borderId="6" xfId="0" applyNumberFormat="1" applyFont="1" applyBorder="1" applyAlignment="1">
      <alignment vertical="center"/>
    </xf>
    <xf numFmtId="165" fontId="17" fillId="0" borderId="2" xfId="0" applyNumberFormat="1" applyFont="1" applyBorder="1" applyAlignment="1">
      <alignment vertical="center"/>
    </xf>
    <xf numFmtId="165" fontId="17" fillId="0" borderId="26" xfId="0" applyNumberFormat="1" applyFont="1" applyBorder="1" applyAlignment="1">
      <alignment vertical="center"/>
    </xf>
    <xf numFmtId="2" fontId="17" fillId="9" borderId="1" xfId="0" applyNumberFormat="1" applyFont="1" applyFill="1" applyBorder="1" applyAlignment="1">
      <alignment horizontal="center" vertical="center"/>
    </xf>
    <xf numFmtId="2" fontId="17" fillId="10" borderId="1" xfId="0" applyNumberFormat="1" applyFont="1" applyFill="1" applyBorder="1" applyAlignment="1">
      <alignment horizontal="center" vertical="center"/>
    </xf>
    <xf numFmtId="2" fontId="9" fillId="9" borderId="1" xfId="0" applyNumberFormat="1" applyFont="1" applyFill="1" applyBorder="1" applyAlignment="1">
      <alignment horizontal="center" vertical="center"/>
    </xf>
    <xf numFmtId="2" fontId="9" fillId="10" borderId="1" xfId="0" applyNumberFormat="1" applyFont="1" applyFill="1" applyBorder="1" applyAlignment="1">
      <alignment horizontal="center" vertical="center"/>
    </xf>
    <xf numFmtId="0" fontId="19" fillId="0" borderId="0" xfId="0" applyFont="1" applyFill="1" applyBorder="1" applyAlignment="1">
      <alignment horizontal="left" vertical="center"/>
    </xf>
    <xf numFmtId="165" fontId="6" fillId="11" borderId="1" xfId="0" applyNumberFormat="1" applyFont="1" applyFill="1" applyBorder="1" applyAlignment="1">
      <alignment horizontal="center" vertical="center"/>
    </xf>
    <xf numFmtId="165" fontId="6" fillId="12" borderId="1" xfId="0" applyNumberFormat="1" applyFont="1" applyFill="1" applyBorder="1" applyAlignment="1">
      <alignment horizontal="center" vertical="center"/>
    </xf>
    <xf numFmtId="165" fontId="17" fillId="11" borderId="7" xfId="0" applyNumberFormat="1" applyFont="1" applyFill="1" applyBorder="1" applyAlignment="1">
      <alignment horizontal="center" vertical="center"/>
    </xf>
    <xf numFmtId="165" fontId="17" fillId="11" borderId="17" xfId="0" applyNumberFormat="1" applyFont="1" applyFill="1" applyBorder="1" applyAlignment="1">
      <alignment horizontal="center" vertical="center"/>
    </xf>
    <xf numFmtId="165" fontId="17" fillId="9" borderId="3" xfId="0" applyNumberFormat="1" applyFont="1" applyFill="1" applyBorder="1" applyAlignment="1">
      <alignment horizontal="center" vertical="center"/>
    </xf>
    <xf numFmtId="165" fontId="17" fillId="9" borderId="7" xfId="0" applyNumberFormat="1" applyFont="1" applyFill="1" applyBorder="1" applyAlignment="1">
      <alignment horizontal="center" vertical="center"/>
    </xf>
    <xf numFmtId="165" fontId="17" fillId="9" borderId="17" xfId="0" applyNumberFormat="1" applyFont="1" applyFill="1" applyBorder="1" applyAlignment="1">
      <alignment horizontal="center" vertical="center"/>
    </xf>
    <xf numFmtId="165" fontId="17" fillId="9" borderId="1" xfId="0" applyNumberFormat="1" applyFont="1" applyFill="1" applyBorder="1" applyAlignment="1">
      <alignment horizontal="center" vertical="center"/>
    </xf>
    <xf numFmtId="165" fontId="17" fillId="10" borderId="3" xfId="0" applyNumberFormat="1" applyFont="1" applyFill="1" applyBorder="1" applyAlignment="1">
      <alignment horizontal="center" vertical="center"/>
    </xf>
    <xf numFmtId="165" fontId="17" fillId="10" borderId="7" xfId="0" applyNumberFormat="1" applyFont="1" applyFill="1" applyBorder="1" applyAlignment="1">
      <alignment horizontal="center" vertical="center"/>
    </xf>
    <xf numFmtId="165" fontId="17" fillId="10" borderId="17" xfId="0" applyNumberFormat="1" applyFont="1" applyFill="1" applyBorder="1" applyAlignment="1">
      <alignment horizontal="center" vertical="center"/>
    </xf>
    <xf numFmtId="165" fontId="17" fillId="10" borderId="1" xfId="0" applyNumberFormat="1" applyFont="1" applyFill="1" applyBorder="1" applyAlignment="1">
      <alignment horizontal="center" vertical="center"/>
    </xf>
    <xf numFmtId="0" fontId="19" fillId="0" borderId="0" xfId="0" applyFont="1" applyFill="1" applyBorder="1" applyAlignment="1">
      <alignment vertical="center"/>
    </xf>
    <xf numFmtId="165" fontId="1" fillId="0" borderId="1" xfId="0" applyNumberFormat="1" applyFont="1" applyFill="1" applyBorder="1" applyAlignment="1">
      <alignment vertical="center" wrapText="1"/>
    </xf>
    <xf numFmtId="165" fontId="6" fillId="0" borderId="2" xfId="0" applyNumberFormat="1" applyFont="1" applyFill="1" applyBorder="1" applyAlignment="1">
      <alignment vertical="center"/>
    </xf>
    <xf numFmtId="165" fontId="6" fillId="8" borderId="2" xfId="0" applyNumberFormat="1" applyFont="1" applyFill="1" applyBorder="1" applyAlignment="1">
      <alignment vertical="center"/>
    </xf>
    <xf numFmtId="2" fontId="17" fillId="9" borderId="13" xfId="0" applyNumberFormat="1" applyFont="1" applyFill="1" applyBorder="1" applyAlignment="1">
      <alignment horizontal="center" vertical="center"/>
    </xf>
    <xf numFmtId="2" fontId="17" fillId="10" borderId="13" xfId="0" applyNumberFormat="1" applyFont="1" applyFill="1" applyBorder="1" applyAlignment="1">
      <alignment horizontal="center" vertical="center"/>
    </xf>
    <xf numFmtId="165" fontId="6" fillId="12" borderId="1" xfId="0" applyNumberFormat="1" applyFont="1" applyFill="1" applyBorder="1" applyAlignment="1">
      <alignment vertical="center"/>
    </xf>
    <xf numFmtId="0" fontId="3" fillId="0" borderId="0" xfId="0" applyFont="1" applyAlignment="1">
      <alignment vertical="center" wrapText="1"/>
    </xf>
    <xf numFmtId="0" fontId="1" fillId="0" borderId="0" xfId="0" applyFont="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vertical="center"/>
    </xf>
    <xf numFmtId="2" fontId="6" fillId="0" borderId="0" xfId="0" applyNumberFormat="1" applyFont="1" applyAlignment="1">
      <alignment vertical="center"/>
    </xf>
    <xf numFmtId="2" fontId="6" fillId="0" borderId="2" xfId="0" applyNumberFormat="1" applyFont="1" applyBorder="1" applyAlignment="1">
      <alignment vertical="center"/>
    </xf>
    <xf numFmtId="2" fontId="17" fillId="11" borderId="13" xfId="0" applyNumberFormat="1" applyFont="1" applyFill="1" applyBorder="1" applyAlignment="1">
      <alignment horizontal="center" vertical="center"/>
    </xf>
    <xf numFmtId="2" fontId="9" fillId="9" borderId="1" xfId="0" applyNumberFormat="1" applyFont="1" applyFill="1" applyBorder="1" applyAlignment="1">
      <alignment horizontal="center" vertical="center"/>
    </xf>
    <xf numFmtId="0" fontId="2" fillId="0" borderId="24" xfId="0" applyNumberFormat="1" applyFont="1" applyFill="1" applyBorder="1" applyAlignment="1">
      <alignment horizontal="center" wrapText="1"/>
    </xf>
    <xf numFmtId="0" fontId="2" fillId="0" borderId="27" xfId="0" applyNumberFormat="1" applyFont="1" applyFill="1" applyBorder="1" applyAlignment="1">
      <alignment horizontal="center" wrapText="1"/>
    </xf>
    <xf numFmtId="2" fontId="9" fillId="11" borderId="28" xfId="0" applyNumberFormat="1" applyFont="1" applyFill="1" applyBorder="1" applyAlignment="1">
      <alignment horizontal="center" vertical="center"/>
    </xf>
    <xf numFmtId="2" fontId="17" fillId="9" borderId="29" xfId="0" applyNumberFormat="1" applyFont="1" applyFill="1" applyBorder="1" applyAlignment="1">
      <alignment horizontal="center" vertical="center"/>
    </xf>
    <xf numFmtId="2" fontId="9" fillId="9" borderId="30" xfId="0" applyNumberFormat="1" applyFont="1" applyFill="1" applyBorder="1" applyAlignment="1">
      <alignment horizontal="center" vertical="center"/>
    </xf>
    <xf numFmtId="2" fontId="6" fillId="9" borderId="22" xfId="0" applyNumberFormat="1" applyFont="1" applyFill="1" applyBorder="1" applyAlignment="1">
      <alignment horizontal="center" vertical="center"/>
    </xf>
    <xf numFmtId="2" fontId="6" fillId="11" borderId="22" xfId="0" applyNumberFormat="1" applyFont="1" applyFill="1" applyBorder="1" applyAlignment="1">
      <alignment horizontal="center" vertical="center"/>
    </xf>
    <xf numFmtId="2" fontId="6" fillId="10" borderId="22" xfId="0" applyNumberFormat="1" applyFont="1" applyFill="1" applyBorder="1" applyAlignment="1">
      <alignment horizontal="center" vertical="center"/>
    </xf>
    <xf numFmtId="2" fontId="6" fillId="9" borderId="31" xfId="0" applyNumberFormat="1" applyFont="1" applyFill="1" applyBorder="1" applyAlignment="1">
      <alignment horizontal="center" vertical="center"/>
    </xf>
    <xf numFmtId="0" fontId="2" fillId="0" borderId="32" xfId="0" applyFont="1" applyFill="1" applyBorder="1" applyAlignment="1">
      <alignment horizontal="left" wrapText="1"/>
    </xf>
    <xf numFmtId="164" fontId="10" fillId="0" borderId="22" xfId="0" applyNumberFormat="1" applyFont="1" applyFill="1" applyBorder="1" applyAlignment="1">
      <alignment horizontal="center" vertical="center"/>
    </xf>
    <xf numFmtId="2" fontId="2" fillId="0" borderId="33" xfId="0" applyNumberFormat="1" applyFont="1" applyFill="1" applyBorder="1" applyAlignment="1">
      <alignment horizontal="center" vertical="center"/>
    </xf>
    <xf numFmtId="164" fontId="10" fillId="0" borderId="31" xfId="0" applyNumberFormat="1" applyFont="1" applyFill="1" applyBorder="1" applyAlignment="1">
      <alignment horizontal="center" vertical="center"/>
    </xf>
    <xf numFmtId="2" fontId="0" fillId="0" borderId="34" xfId="0" applyNumberFormat="1" applyFill="1" applyBorder="1"/>
    <xf numFmtId="2" fontId="2" fillId="0" borderId="35" xfId="0" applyNumberFormat="1" applyFont="1" applyFill="1" applyBorder="1" applyAlignment="1">
      <alignment horizontal="center" vertical="center"/>
    </xf>
    <xf numFmtId="2" fontId="0" fillId="11" borderId="1" xfId="0" applyNumberFormat="1" applyFill="1" applyBorder="1" applyAlignment="1">
      <alignment horizontal="center" vertical="center"/>
    </xf>
    <xf numFmtId="2" fontId="9" fillId="11" borderId="1" xfId="0" applyNumberFormat="1" applyFont="1" applyFill="1" applyBorder="1" applyAlignment="1">
      <alignment horizontal="center" vertical="center"/>
    </xf>
    <xf numFmtId="2" fontId="0" fillId="9" borderId="1" xfId="0" applyNumberFormat="1" applyFill="1" applyBorder="1" applyAlignment="1">
      <alignment horizontal="center" vertical="center"/>
    </xf>
    <xf numFmtId="164" fontId="9" fillId="0" borderId="1" xfId="0" applyNumberFormat="1" applyFont="1" applyFill="1" applyBorder="1" applyAlignment="1">
      <alignment horizontal="center" vertical="center"/>
    </xf>
    <xf numFmtId="165" fontId="21" fillId="11" borderId="1" xfId="0" applyNumberFormat="1" applyFont="1" applyFill="1" applyBorder="1" applyAlignment="1" applyProtection="1">
      <alignment horizontal="center"/>
    </xf>
    <xf numFmtId="165" fontId="21" fillId="11" borderId="22" xfId="0" applyNumberFormat="1" applyFont="1" applyFill="1" applyBorder="1" applyAlignment="1" applyProtection="1"/>
    <xf numFmtId="165" fontId="21" fillId="9" borderId="22" xfId="0" applyNumberFormat="1" applyFont="1" applyFill="1" applyBorder="1" applyAlignment="1" applyProtection="1"/>
    <xf numFmtId="165" fontId="21" fillId="10" borderId="22" xfId="0" applyNumberFormat="1" applyFont="1" applyFill="1" applyBorder="1" applyAlignment="1" applyProtection="1"/>
    <xf numFmtId="165" fontId="22" fillId="11" borderId="33" xfId="0" applyNumberFormat="1" applyFont="1" applyFill="1" applyBorder="1" applyAlignment="1" applyProtection="1">
      <alignment horizontal="center"/>
    </xf>
    <xf numFmtId="165" fontId="21" fillId="9" borderId="31" xfId="0" applyNumberFormat="1" applyFont="1" applyFill="1" applyBorder="1" applyAlignment="1" applyProtection="1"/>
    <xf numFmtId="165" fontId="21" fillId="9" borderId="34" xfId="0" applyNumberFormat="1" applyFont="1" applyFill="1" applyBorder="1" applyAlignment="1" applyProtection="1">
      <alignment horizontal="center"/>
    </xf>
    <xf numFmtId="165" fontId="22" fillId="9" borderId="35" xfId="0" applyNumberFormat="1" applyFont="1" applyFill="1" applyBorder="1" applyAlignment="1" applyProtection="1">
      <alignment horizontal="center"/>
    </xf>
    <xf numFmtId="165" fontId="6" fillId="13" borderId="2" xfId="0" applyNumberFormat="1" applyFont="1" applyFill="1" applyBorder="1" applyAlignment="1">
      <alignment vertical="center"/>
    </xf>
    <xf numFmtId="165" fontId="6" fillId="13" borderId="1" xfId="0" applyNumberFormat="1" applyFont="1" applyFill="1" applyBorder="1" applyAlignment="1">
      <alignment vertical="center"/>
    </xf>
    <xf numFmtId="165" fontId="23" fillId="13" borderId="1" xfId="0" applyNumberFormat="1" applyFont="1" applyFill="1" applyBorder="1" applyAlignment="1">
      <alignment vertical="center"/>
    </xf>
    <xf numFmtId="165" fontId="23" fillId="0" borderId="1" xfId="0" applyNumberFormat="1" applyFont="1" applyBorder="1" applyAlignment="1">
      <alignment vertical="center"/>
    </xf>
    <xf numFmtId="165" fontId="23" fillId="14" borderId="1" xfId="0" applyNumberFormat="1" applyFont="1" applyFill="1" applyBorder="1" applyAlignment="1">
      <alignment vertical="center"/>
    </xf>
    <xf numFmtId="49" fontId="20" fillId="0" borderId="1" xfId="1" applyNumberFormat="1" applyBorder="1" applyAlignment="1">
      <alignment horizontal="center" wrapText="1"/>
    </xf>
    <xf numFmtId="165" fontId="6" fillId="0" borderId="1" xfId="1" applyNumberFormat="1" applyFont="1" applyFill="1" applyBorder="1" applyAlignment="1">
      <alignment vertical="center"/>
    </xf>
    <xf numFmtId="165" fontId="23" fillId="0" borderId="1" xfId="1" applyNumberFormat="1" applyFont="1" applyFill="1" applyBorder="1" applyAlignment="1">
      <alignment vertical="center"/>
    </xf>
    <xf numFmtId="165" fontId="6" fillId="14" borderId="1" xfId="1" applyNumberFormat="1" applyFont="1" applyFill="1" applyBorder="1" applyAlignment="1">
      <alignment vertical="center"/>
    </xf>
    <xf numFmtId="165" fontId="6" fillId="14" borderId="1" xfId="0" applyNumberFormat="1" applyFont="1" applyFill="1" applyBorder="1" applyAlignment="1">
      <alignment vertical="center"/>
    </xf>
    <xf numFmtId="2" fontId="6" fillId="11" borderId="1" xfId="0" applyNumberFormat="1" applyFont="1" applyFill="1" applyBorder="1" applyAlignment="1">
      <alignment horizontal="center" vertical="center"/>
    </xf>
    <xf numFmtId="49" fontId="20" fillId="0" borderId="2" xfId="1" applyNumberFormat="1" applyBorder="1" applyAlignment="1">
      <alignment horizontal="center" wrapText="1"/>
    </xf>
    <xf numFmtId="165" fontId="6" fillId="0" borderId="2" xfId="1" applyNumberFormat="1" applyFont="1" applyFill="1" applyBorder="1" applyAlignment="1">
      <alignment vertical="center"/>
    </xf>
    <xf numFmtId="165" fontId="6" fillId="14" borderId="2" xfId="1" applyNumberFormat="1" applyFont="1" applyFill="1" applyBorder="1" applyAlignment="1">
      <alignment vertical="center"/>
    </xf>
    <xf numFmtId="165" fontId="6" fillId="14" borderId="2" xfId="0" applyNumberFormat="1" applyFont="1" applyFill="1" applyBorder="1" applyAlignment="1">
      <alignment vertical="center"/>
    </xf>
    <xf numFmtId="165" fontId="6" fillId="9" borderId="22" xfId="0" applyNumberFormat="1" applyFont="1" applyFill="1" applyBorder="1" applyAlignment="1">
      <alignment vertical="center"/>
    </xf>
    <xf numFmtId="165" fontId="6" fillId="11" borderId="22" xfId="0" applyNumberFormat="1" applyFont="1" applyFill="1" applyBorder="1" applyAlignment="1">
      <alignment vertical="center"/>
    </xf>
    <xf numFmtId="165" fontId="6" fillId="10" borderId="22" xfId="0" applyNumberFormat="1" applyFont="1" applyFill="1" applyBorder="1" applyAlignment="1">
      <alignment vertical="center"/>
    </xf>
    <xf numFmtId="2" fontId="6" fillId="11" borderId="33" xfId="0" applyNumberFormat="1" applyFont="1" applyFill="1" applyBorder="1" applyAlignment="1">
      <alignment horizontal="center" vertical="center"/>
    </xf>
    <xf numFmtId="165" fontId="6" fillId="10" borderId="31" xfId="0" applyNumberFormat="1" applyFont="1" applyFill="1" applyBorder="1" applyAlignment="1">
      <alignment vertical="center"/>
    </xf>
    <xf numFmtId="2" fontId="6" fillId="10" borderId="34" xfId="0" applyNumberFormat="1" applyFont="1" applyFill="1" applyBorder="1" applyAlignment="1">
      <alignment horizontal="center" vertical="center"/>
    </xf>
    <xf numFmtId="2" fontId="6" fillId="10" borderId="35" xfId="0" applyNumberFormat="1" applyFont="1" applyFill="1" applyBorder="1" applyAlignment="1">
      <alignment horizontal="center" vertical="center"/>
    </xf>
    <xf numFmtId="0" fontId="3" fillId="0" borderId="5" xfId="0" applyFont="1" applyFill="1" applyBorder="1" applyAlignment="1">
      <alignment horizontal="center" wrapText="1"/>
    </xf>
    <xf numFmtId="165" fontId="2" fillId="2" borderId="3" xfId="0" applyNumberFormat="1" applyFont="1" applyFill="1" applyBorder="1" applyAlignment="1">
      <alignment horizontal="center" vertical="center"/>
    </xf>
    <xf numFmtId="165" fontId="2" fillId="2" borderId="7" xfId="0" applyNumberFormat="1" applyFont="1" applyFill="1" applyBorder="1" applyAlignment="1">
      <alignment horizontal="center" vertical="center"/>
    </xf>
    <xf numFmtId="165" fontId="2" fillId="2" borderId="17"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xf>
    <xf numFmtId="164" fontId="2" fillId="0" borderId="17"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164" fontId="2" fillId="0" borderId="17" xfId="0"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17" xfId="0" applyFont="1" applyFill="1" applyBorder="1" applyAlignment="1">
      <alignment horizontal="center" vertical="center"/>
    </xf>
    <xf numFmtId="165" fontId="3" fillId="6" borderId="3" xfId="0" applyNumberFormat="1" applyFont="1" applyFill="1" applyBorder="1" applyAlignment="1">
      <alignment horizontal="center" vertical="center"/>
    </xf>
    <xf numFmtId="0" fontId="3" fillId="6" borderId="7" xfId="0" applyFont="1" applyFill="1" applyBorder="1" applyAlignment="1">
      <alignment horizontal="center" vertical="center"/>
    </xf>
    <xf numFmtId="0" fontId="3" fillId="6" borderId="17" xfId="0" applyFont="1" applyFill="1" applyBorder="1" applyAlignment="1">
      <alignment horizontal="center" vertical="center"/>
    </xf>
    <xf numFmtId="0" fontId="2" fillId="0" borderId="1" xfId="0" applyFont="1" applyBorder="1" applyAlignment="1">
      <alignment horizontal="center" vertical="center" wrapText="1"/>
    </xf>
    <xf numFmtId="165" fontId="2" fillId="6" borderId="3" xfId="0" applyNumberFormat="1" applyFont="1" applyFill="1" applyBorder="1" applyAlignment="1">
      <alignment horizontal="center" vertical="center"/>
    </xf>
    <xf numFmtId="165" fontId="2" fillId="6" borderId="7" xfId="0" applyNumberFormat="1" applyFont="1" applyFill="1" applyBorder="1" applyAlignment="1">
      <alignment horizontal="center" vertical="center"/>
    </xf>
    <xf numFmtId="165" fontId="2" fillId="6" borderId="17" xfId="0" applyNumberFormat="1" applyFont="1" applyFill="1" applyBorder="1" applyAlignment="1">
      <alignment horizontal="center" vertical="center"/>
    </xf>
    <xf numFmtId="2" fontId="3" fillId="6" borderId="3" xfId="0" applyNumberFormat="1" applyFont="1" applyFill="1" applyBorder="1" applyAlignment="1">
      <alignment horizontal="center" vertical="center"/>
    </xf>
    <xf numFmtId="2" fontId="3" fillId="2" borderId="3" xfId="0" applyNumberFormat="1" applyFont="1" applyFill="1" applyBorder="1" applyAlignment="1">
      <alignment horizontal="center" vertical="center"/>
    </xf>
    <xf numFmtId="165" fontId="2" fillId="2" borderId="13" xfId="0" applyNumberFormat="1" applyFont="1" applyFill="1" applyBorder="1" applyAlignment="1">
      <alignment horizontal="center" vertical="center"/>
    </xf>
    <xf numFmtId="165" fontId="3" fillId="2" borderId="7" xfId="0" applyNumberFormat="1" applyFont="1" applyFill="1" applyBorder="1" applyAlignment="1">
      <alignment horizontal="center" vertical="center"/>
    </xf>
    <xf numFmtId="165" fontId="3" fillId="2" borderId="17" xfId="0" applyNumberFormat="1" applyFont="1" applyFill="1" applyBorder="1" applyAlignment="1">
      <alignment horizontal="center" vertical="center"/>
    </xf>
    <xf numFmtId="165" fontId="2" fillId="2" borderId="4" xfId="0" applyNumberFormat="1" applyFont="1" applyFill="1" applyBorder="1" applyAlignment="1">
      <alignment horizontal="center" vertical="center"/>
    </xf>
    <xf numFmtId="165" fontId="2" fillId="2" borderId="11" xfId="0" applyNumberFormat="1" applyFont="1" applyFill="1" applyBorder="1" applyAlignment="1">
      <alignment horizontal="center" vertical="center"/>
    </xf>
    <xf numFmtId="165" fontId="2" fillId="2" borderId="12" xfId="0" applyNumberFormat="1" applyFont="1" applyFill="1" applyBorder="1" applyAlignment="1">
      <alignment horizontal="center" vertical="center"/>
    </xf>
    <xf numFmtId="165" fontId="3" fillId="2" borderId="1" xfId="0" applyNumberFormat="1" applyFont="1" applyFill="1" applyBorder="1" applyAlignment="1">
      <alignment horizontal="center" vertical="center"/>
    </xf>
    <xf numFmtId="165" fontId="3" fillId="6" borderId="7" xfId="0" applyNumberFormat="1" applyFont="1" applyFill="1" applyBorder="1" applyAlignment="1">
      <alignment horizontal="center" vertical="center"/>
    </xf>
    <xf numFmtId="165" fontId="3" fillId="6" borderId="17" xfId="0" applyNumberFormat="1" applyFont="1" applyFill="1" applyBorder="1" applyAlignment="1">
      <alignment horizontal="center" vertical="center"/>
    </xf>
    <xf numFmtId="165" fontId="3" fillId="5" borderId="3" xfId="0" applyNumberFormat="1" applyFont="1" applyFill="1" applyBorder="1" applyAlignment="1">
      <alignment horizontal="center" vertical="center"/>
    </xf>
    <xf numFmtId="165" fontId="3" fillId="5" borderId="7" xfId="0" applyNumberFormat="1" applyFont="1" applyFill="1" applyBorder="1" applyAlignment="1">
      <alignment horizontal="center" vertical="center"/>
    </xf>
    <xf numFmtId="165" fontId="3" fillId="5" borderId="17" xfId="0" applyNumberFormat="1" applyFont="1" applyFill="1" applyBorder="1" applyAlignment="1">
      <alignment horizontal="center" vertical="center"/>
    </xf>
    <xf numFmtId="165" fontId="2" fillId="6" borderId="4" xfId="0" applyNumberFormat="1" applyFont="1" applyFill="1" applyBorder="1" applyAlignment="1">
      <alignment horizontal="center" vertical="center"/>
    </xf>
    <xf numFmtId="165" fontId="2" fillId="6" borderId="11" xfId="0" applyNumberFormat="1" applyFont="1" applyFill="1" applyBorder="1" applyAlignment="1">
      <alignment horizontal="center" vertical="center"/>
    </xf>
    <xf numFmtId="165" fontId="2" fillId="6" borderId="12" xfId="0" applyNumberFormat="1" applyFont="1" applyFill="1" applyBorder="1" applyAlignment="1">
      <alignment horizontal="center" vertical="center"/>
    </xf>
    <xf numFmtId="0" fontId="3" fillId="0" borderId="0" xfId="0" applyFont="1" applyFill="1" applyBorder="1" applyAlignment="1">
      <alignment horizontal="center" wrapText="1"/>
    </xf>
    <xf numFmtId="164" fontId="2" fillId="0" borderId="36" xfId="0" applyNumberFormat="1" applyFont="1" applyFill="1" applyBorder="1" applyAlignment="1">
      <alignment horizontal="center" vertical="center" wrapText="1"/>
    </xf>
    <xf numFmtId="165" fontId="2" fillId="2" borderId="29" xfId="0" applyNumberFormat="1" applyFont="1" applyFill="1" applyBorder="1" applyAlignment="1">
      <alignment horizontal="center" vertical="center"/>
    </xf>
    <xf numFmtId="165" fontId="3" fillId="2" borderId="36" xfId="0" applyNumberFormat="1" applyFont="1" applyFill="1" applyBorder="1" applyAlignment="1">
      <alignment horizontal="center" vertical="center"/>
    </xf>
    <xf numFmtId="165" fontId="2" fillId="5" borderId="4" xfId="0" applyNumberFormat="1" applyFont="1" applyFill="1" applyBorder="1" applyAlignment="1">
      <alignment horizontal="center" vertical="center"/>
    </xf>
    <xf numFmtId="165" fontId="2" fillId="5" borderId="11" xfId="0" applyNumberFormat="1" applyFont="1" applyFill="1" applyBorder="1" applyAlignment="1">
      <alignment horizontal="center" vertical="center"/>
    </xf>
    <xf numFmtId="165" fontId="2" fillId="5" borderId="12"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5" fontId="0" fillId="5" borderId="1" xfId="0" applyNumberFormat="1" applyFill="1" applyBorder="1" applyAlignment="1">
      <alignment vertical="center"/>
    </xf>
    <xf numFmtId="165" fontId="0" fillId="6" borderId="1" xfId="0" applyNumberFormat="1" applyFill="1" applyBorder="1" applyAlignment="1">
      <alignment vertical="center"/>
    </xf>
    <xf numFmtId="165" fontId="2" fillId="5" borderId="3" xfId="0" applyNumberFormat="1" applyFont="1" applyFill="1" applyBorder="1" applyAlignment="1">
      <alignment horizontal="center" vertical="center"/>
    </xf>
    <xf numFmtId="165" fontId="2" fillId="5" borderId="7" xfId="0" applyNumberFormat="1" applyFont="1" applyFill="1" applyBorder="1" applyAlignment="1">
      <alignment horizontal="center" vertical="center"/>
    </xf>
    <xf numFmtId="165" fontId="2" fillId="5" borderId="17" xfId="0" applyNumberFormat="1" applyFont="1" applyFill="1" applyBorder="1" applyAlignment="1">
      <alignment horizontal="center" vertical="center"/>
    </xf>
    <xf numFmtId="165" fontId="0" fillId="2" borderId="1" xfId="0" applyNumberFormat="1" applyFill="1" applyBorder="1" applyAlignment="1">
      <alignment vertical="center"/>
    </xf>
    <xf numFmtId="165" fontId="0" fillId="9" borderId="1" xfId="0" applyNumberFormat="1" applyFill="1" applyBorder="1" applyAlignment="1">
      <alignment horizontal="center" vertical="center"/>
    </xf>
    <xf numFmtId="165" fontId="0" fillId="2" borderId="1" xfId="0" applyNumberFormat="1" applyFill="1" applyBorder="1" applyAlignment="1">
      <alignment horizontal="center" vertical="center"/>
    </xf>
    <xf numFmtId="165" fontId="0" fillId="3" borderId="1" xfId="0" applyNumberFormat="1" applyFill="1" applyBorder="1" applyAlignment="1">
      <alignment horizontal="center" vertical="center"/>
    </xf>
    <xf numFmtId="0" fontId="7" fillId="0" borderId="13" xfId="0" applyFont="1" applyBorder="1" applyAlignment="1">
      <alignment horizontal="center" vertical="center" textRotation="90"/>
    </xf>
    <xf numFmtId="164" fontId="2" fillId="0" borderId="8"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10" xfId="0" applyNumberFormat="1" applyFont="1" applyFill="1" applyBorder="1" applyAlignment="1">
      <alignment horizontal="center" vertical="center"/>
    </xf>
    <xf numFmtId="165" fontId="3" fillId="5" borderId="8" xfId="0" applyNumberFormat="1" applyFont="1" applyFill="1" applyBorder="1" applyAlignment="1">
      <alignment horizontal="center" vertical="center"/>
    </xf>
    <xf numFmtId="165" fontId="3" fillId="5" borderId="9" xfId="0" applyNumberFormat="1" applyFont="1" applyFill="1" applyBorder="1" applyAlignment="1">
      <alignment horizontal="center" vertical="center"/>
    </xf>
    <xf numFmtId="165" fontId="3" fillId="5" borderId="10" xfId="0" applyNumberFormat="1" applyFont="1" applyFill="1" applyBorder="1" applyAlignment="1">
      <alignment horizontal="center" vertical="center"/>
    </xf>
    <xf numFmtId="165" fontId="3" fillId="6" borderId="8" xfId="0" applyNumberFormat="1" applyFont="1" applyFill="1" applyBorder="1" applyAlignment="1">
      <alignment horizontal="center" vertical="center"/>
    </xf>
    <xf numFmtId="165" fontId="3" fillId="6" borderId="9" xfId="0" applyNumberFormat="1" applyFont="1" applyFill="1" applyBorder="1" applyAlignment="1">
      <alignment horizontal="center" vertical="center"/>
    </xf>
    <xf numFmtId="165" fontId="3" fillId="6" borderId="10" xfId="0" applyNumberFormat="1" applyFont="1" applyFill="1" applyBorder="1" applyAlignment="1">
      <alignment horizontal="center" vertical="center"/>
    </xf>
    <xf numFmtId="165" fontId="3" fillId="2" borderId="8" xfId="0" applyNumberFormat="1" applyFont="1" applyFill="1" applyBorder="1" applyAlignment="1">
      <alignment horizontal="center" vertical="center"/>
    </xf>
    <xf numFmtId="165" fontId="3" fillId="2" borderId="9" xfId="0" applyNumberFormat="1" applyFont="1" applyFill="1" applyBorder="1" applyAlignment="1">
      <alignment horizontal="center" vertical="center"/>
    </xf>
    <xf numFmtId="165" fontId="3" fillId="2" borderId="10" xfId="0" applyNumberFormat="1" applyFont="1" applyFill="1" applyBorder="1" applyAlignment="1">
      <alignment horizontal="center" vertical="center"/>
    </xf>
    <xf numFmtId="165" fontId="2" fillId="5" borderId="1" xfId="0" applyNumberFormat="1" applyFont="1" applyFill="1" applyBorder="1" applyAlignment="1">
      <alignment horizontal="center" vertical="center"/>
    </xf>
    <xf numFmtId="165" fontId="2" fillId="9" borderId="1" xfId="0" applyNumberFormat="1" applyFont="1" applyFill="1" applyBorder="1" applyAlignment="1">
      <alignment horizontal="center" vertical="center"/>
    </xf>
    <xf numFmtId="164" fontId="2" fillId="0" borderId="5"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64" fontId="2" fillId="0" borderId="6" xfId="0" applyNumberFormat="1" applyFont="1" applyFill="1" applyBorder="1" applyAlignment="1">
      <alignment horizontal="center" vertical="center"/>
    </xf>
    <xf numFmtId="2" fontId="9" fillId="0" borderId="1" xfId="0" applyNumberFormat="1" applyFont="1" applyBorder="1" applyAlignment="1">
      <alignment horizontal="center" vertical="center"/>
    </xf>
    <xf numFmtId="2" fontId="0" fillId="0" borderId="1" xfId="0" applyNumberFormat="1" applyFill="1" applyBorder="1" applyAlignment="1">
      <alignment horizontal="center" vertical="center"/>
    </xf>
    <xf numFmtId="2" fontId="2" fillId="0" borderId="3" xfId="0" applyNumberFormat="1" applyFont="1" applyBorder="1" applyAlignment="1">
      <alignment horizontal="center" vertical="center"/>
    </xf>
    <xf numFmtId="2" fontId="2" fillId="0" borderId="7" xfId="0" applyNumberFormat="1" applyFont="1" applyBorder="1" applyAlignment="1">
      <alignment horizontal="center" vertical="center"/>
    </xf>
    <xf numFmtId="2" fontId="2" fillId="0" borderId="17" xfId="0" applyNumberFormat="1" applyFont="1" applyBorder="1" applyAlignment="1">
      <alignment horizontal="center" vertical="center"/>
    </xf>
    <xf numFmtId="2" fontId="0" fillId="0" borderId="3" xfId="0" applyNumberFormat="1" applyBorder="1" applyAlignment="1">
      <alignment horizontal="right" vertical="center"/>
    </xf>
    <xf numFmtId="2" fontId="0" fillId="0" borderId="7" xfId="0" applyNumberFormat="1" applyBorder="1" applyAlignment="1">
      <alignment horizontal="right" vertical="center"/>
    </xf>
    <xf numFmtId="2" fontId="0" fillId="0" borderId="17" xfId="0" applyNumberFormat="1" applyBorder="1" applyAlignment="1">
      <alignment horizontal="right" vertical="center"/>
    </xf>
    <xf numFmtId="165" fontId="1" fillId="6" borderId="1" xfId="0" applyNumberFormat="1" applyFont="1" applyFill="1" applyBorder="1" applyAlignment="1">
      <alignment horizontal="center" vertical="center"/>
    </xf>
    <xf numFmtId="165" fontId="1" fillId="2" borderId="1" xfId="0" applyNumberFormat="1" applyFont="1" applyFill="1" applyBorder="1" applyAlignment="1">
      <alignment horizontal="center" vertical="center"/>
    </xf>
    <xf numFmtId="165" fontId="1" fillId="5" borderId="1" xfId="0" applyNumberFormat="1" applyFont="1" applyFill="1" applyBorder="1" applyAlignment="1">
      <alignment horizontal="center" vertical="center"/>
    </xf>
    <xf numFmtId="165" fontId="1" fillId="7" borderId="1" xfId="0" applyNumberFormat="1" applyFont="1" applyFill="1" applyBorder="1" applyAlignment="1">
      <alignment horizontal="center" vertical="center"/>
    </xf>
    <xf numFmtId="165" fontId="2" fillId="7" borderId="1" xfId="0" applyNumberFormat="1" applyFont="1" applyFill="1" applyBorder="1" applyAlignment="1">
      <alignment horizontal="center" vertical="center"/>
    </xf>
    <xf numFmtId="165" fontId="1" fillId="10" borderId="1" xfId="0" applyNumberFormat="1" applyFont="1" applyFill="1" applyBorder="1" applyAlignment="1">
      <alignment horizontal="center" vertical="center" wrapText="1"/>
    </xf>
    <xf numFmtId="165" fontId="1" fillId="10" borderId="1" xfId="0" applyNumberFormat="1" applyFont="1" applyFill="1" applyBorder="1" applyAlignment="1">
      <alignment horizontal="center" vertical="center"/>
    </xf>
    <xf numFmtId="165" fontId="1" fillId="9" borderId="1" xfId="0" applyNumberFormat="1" applyFont="1" applyFill="1" applyBorder="1" applyAlignment="1">
      <alignment horizontal="center" vertical="center" wrapText="1"/>
    </xf>
    <xf numFmtId="165" fontId="1" fillId="9" borderId="1" xfId="0" applyNumberFormat="1" applyFont="1" applyFill="1" applyBorder="1" applyAlignment="1">
      <alignment horizontal="center" vertical="center"/>
    </xf>
    <xf numFmtId="165" fontId="2" fillId="10" borderId="1" xfId="0" applyNumberFormat="1" applyFont="1" applyFill="1" applyBorder="1" applyAlignment="1">
      <alignment horizontal="center" vertical="center" wrapText="1"/>
    </xf>
    <xf numFmtId="165" fontId="2" fillId="10" borderId="1" xfId="0" applyNumberFormat="1" applyFont="1" applyFill="1" applyBorder="1" applyAlignment="1">
      <alignment horizontal="center" vertical="center"/>
    </xf>
    <xf numFmtId="165" fontId="2" fillId="9"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3" xfId="0" applyFont="1" applyFill="1" applyBorder="1" applyAlignment="1">
      <alignment horizontal="center" vertical="center" wrapText="1"/>
    </xf>
    <xf numFmtId="165" fontId="1" fillId="11" borderId="1" xfId="0" applyNumberFormat="1" applyFont="1" applyFill="1" applyBorder="1" applyAlignment="1">
      <alignment horizontal="center" vertical="center" wrapText="1"/>
    </xf>
    <xf numFmtId="165" fontId="1" fillId="11" borderId="1" xfId="0" applyNumberFormat="1" applyFont="1" applyFill="1" applyBorder="1" applyAlignment="1">
      <alignment horizontal="center" vertical="center"/>
    </xf>
    <xf numFmtId="165" fontId="2" fillId="11" borderId="1" xfId="0" applyNumberFormat="1" applyFont="1" applyFill="1" applyBorder="1" applyAlignment="1">
      <alignment horizontal="center" vertical="center" wrapText="1"/>
    </xf>
    <xf numFmtId="165" fontId="2"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wrapText="1"/>
    </xf>
    <xf numFmtId="2" fontId="1" fillId="11" borderId="1" xfId="0" applyNumberFormat="1" applyFont="1" applyFill="1" applyBorder="1" applyAlignment="1">
      <alignment horizontal="center" vertical="center"/>
    </xf>
    <xf numFmtId="2" fontId="2" fillId="9" borderId="1" xfId="0" applyNumberFormat="1" applyFont="1" applyFill="1" applyBorder="1" applyAlignment="1">
      <alignment horizontal="center" vertical="center" wrapText="1"/>
    </xf>
    <xf numFmtId="2" fontId="2" fillId="9" borderId="1" xfId="0" applyNumberFormat="1" applyFont="1" applyFill="1" applyBorder="1" applyAlignment="1">
      <alignment horizontal="center" vertical="center"/>
    </xf>
    <xf numFmtId="2" fontId="1" fillId="9" borderId="1" xfId="0" applyNumberFormat="1" applyFont="1" applyFill="1" applyBorder="1" applyAlignment="1">
      <alignment horizontal="center" vertical="center" wrapText="1"/>
    </xf>
    <xf numFmtId="2" fontId="1" fillId="9" borderId="1" xfId="0" applyNumberFormat="1" applyFont="1" applyFill="1" applyBorder="1" applyAlignment="1">
      <alignment horizontal="center" vertical="center"/>
    </xf>
    <xf numFmtId="2" fontId="1" fillId="10" borderId="1" xfId="0" applyNumberFormat="1" applyFont="1" applyFill="1" applyBorder="1" applyAlignment="1">
      <alignment horizontal="center" vertical="center" wrapText="1"/>
    </xf>
    <xf numFmtId="2" fontId="1" fillId="10" borderId="1" xfId="0" applyNumberFormat="1" applyFont="1" applyFill="1" applyBorder="1" applyAlignment="1">
      <alignment horizontal="center" vertical="center"/>
    </xf>
    <xf numFmtId="2" fontId="2" fillId="10" borderId="1" xfId="0" applyNumberFormat="1" applyFont="1" applyFill="1" applyBorder="1" applyAlignment="1">
      <alignment horizontal="center" vertical="center" wrapText="1"/>
    </xf>
    <xf numFmtId="2" fontId="2" fillId="10" borderId="1" xfId="0" applyNumberFormat="1" applyFont="1" applyFill="1" applyBorder="1" applyAlignment="1">
      <alignment horizontal="center" vertical="center"/>
    </xf>
    <xf numFmtId="165" fontId="1" fillId="12" borderId="1" xfId="0" applyNumberFormat="1" applyFont="1" applyFill="1" applyBorder="1" applyAlignment="1">
      <alignment horizontal="center" vertical="center" wrapText="1"/>
    </xf>
    <xf numFmtId="165" fontId="1" fillId="12" borderId="1" xfId="0" applyNumberFormat="1" applyFont="1" applyFill="1" applyBorder="1" applyAlignment="1">
      <alignment horizontal="center" vertical="center"/>
    </xf>
    <xf numFmtId="2" fontId="0" fillId="11" borderId="3" xfId="0" applyNumberFormat="1" applyFill="1" applyBorder="1" applyAlignment="1">
      <alignment horizontal="center" vertical="center"/>
    </xf>
    <xf numFmtId="2" fontId="0" fillId="11" borderId="7" xfId="0" applyNumberFormat="1" applyFill="1" applyBorder="1" applyAlignment="1">
      <alignment horizontal="center" vertical="center"/>
    </xf>
    <xf numFmtId="2" fontId="0" fillId="11" borderId="17" xfId="0" applyNumberFormat="1" applyFill="1" applyBorder="1" applyAlignment="1">
      <alignment horizontal="center" vertical="center"/>
    </xf>
    <xf numFmtId="2" fontId="9" fillId="9" borderId="1"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2" fillId="0" borderId="11" xfId="0" applyNumberFormat="1" applyFont="1" applyFill="1" applyBorder="1" applyAlignment="1">
      <alignment horizontal="center" vertical="center"/>
    </xf>
    <xf numFmtId="164" fontId="2" fillId="0" borderId="12" xfId="0" applyNumberFormat="1" applyFont="1" applyFill="1" applyBorder="1" applyAlignment="1">
      <alignment horizontal="center" vertical="center"/>
    </xf>
    <xf numFmtId="2" fontId="0" fillId="9" borderId="3" xfId="0" applyNumberFormat="1" applyFill="1" applyBorder="1" applyAlignment="1">
      <alignment horizontal="center" vertical="center"/>
    </xf>
    <xf numFmtId="2" fontId="0" fillId="9" borderId="7" xfId="0" applyNumberFormat="1" applyFill="1" applyBorder="1" applyAlignment="1">
      <alignment horizontal="center" vertical="center"/>
    </xf>
    <xf numFmtId="2" fontId="0" fillId="9" borderId="17" xfId="0" applyNumberFormat="1" applyFill="1" applyBorder="1" applyAlignment="1">
      <alignment horizontal="center" vertical="center"/>
    </xf>
    <xf numFmtId="2" fontId="0" fillId="10" borderId="3" xfId="0" applyNumberFormat="1" applyFill="1" applyBorder="1" applyAlignment="1">
      <alignment horizontal="center" vertical="center"/>
    </xf>
    <xf numFmtId="2" fontId="0" fillId="10" borderId="7" xfId="0" applyNumberFormat="1" applyFill="1" applyBorder="1" applyAlignment="1">
      <alignment horizontal="center" vertical="center"/>
    </xf>
    <xf numFmtId="2" fontId="0" fillId="10" borderId="17" xfId="0" applyNumberFormat="1" applyFill="1" applyBorder="1" applyAlignment="1">
      <alignment horizontal="center" vertical="center"/>
    </xf>
    <xf numFmtId="2" fontId="17" fillId="10" borderId="3" xfId="0" applyNumberFormat="1" applyFont="1" applyFill="1" applyBorder="1" applyAlignment="1">
      <alignment horizontal="center" vertical="center"/>
    </xf>
    <xf numFmtId="2" fontId="17" fillId="10" borderId="7" xfId="0" applyNumberFormat="1" applyFont="1" applyFill="1" applyBorder="1" applyAlignment="1">
      <alignment horizontal="center" vertical="center"/>
    </xf>
    <xf numFmtId="2" fontId="17" fillId="10" borderId="17" xfId="0" applyNumberFormat="1" applyFont="1" applyFill="1" applyBorder="1" applyAlignment="1">
      <alignment horizontal="center" vertical="center"/>
    </xf>
    <xf numFmtId="2" fontId="0" fillId="9" borderId="4" xfId="0" applyNumberFormat="1" applyFill="1" applyBorder="1" applyAlignment="1">
      <alignment horizontal="center" vertical="center"/>
    </xf>
    <xf numFmtId="2" fontId="0" fillId="9" borderId="11" xfId="0" applyNumberFormat="1" applyFill="1" applyBorder="1" applyAlignment="1">
      <alignment horizontal="center" vertical="center"/>
    </xf>
    <xf numFmtId="2" fontId="0" fillId="9" borderId="12" xfId="0" applyNumberFormat="1" applyFill="1" applyBorder="1" applyAlignment="1">
      <alignment horizontal="center" vertical="center"/>
    </xf>
    <xf numFmtId="2" fontId="0" fillId="10" borderId="4" xfId="0" applyNumberFormat="1" applyFill="1" applyBorder="1" applyAlignment="1">
      <alignment horizontal="center" vertical="center"/>
    </xf>
    <xf numFmtId="2" fontId="0" fillId="10" borderId="11" xfId="0" applyNumberFormat="1" applyFill="1" applyBorder="1" applyAlignment="1">
      <alignment horizontal="center" vertical="center"/>
    </xf>
    <xf numFmtId="2" fontId="0" fillId="10" borderId="12" xfId="0" applyNumberFormat="1" applyFill="1" applyBorder="1" applyAlignment="1">
      <alignment horizontal="center" vertical="center"/>
    </xf>
    <xf numFmtId="2" fontId="2" fillId="0" borderId="1" xfId="0" applyNumberFormat="1" applyFont="1" applyBorder="1" applyAlignment="1">
      <alignment horizontal="center" vertical="center"/>
    </xf>
    <xf numFmtId="2" fontId="17" fillId="10" borderId="4" xfId="0" applyNumberFormat="1" applyFont="1" applyFill="1" applyBorder="1" applyAlignment="1">
      <alignment horizontal="center" vertical="center"/>
    </xf>
    <xf numFmtId="2" fontId="17" fillId="10" borderId="11" xfId="0" applyNumberFormat="1" applyFont="1" applyFill="1" applyBorder="1" applyAlignment="1">
      <alignment horizontal="center" vertical="center"/>
    </xf>
    <xf numFmtId="2" fontId="17" fillId="10" borderId="12" xfId="0" applyNumberFormat="1" applyFont="1" applyFill="1" applyBorder="1" applyAlignment="1">
      <alignment horizontal="center" vertical="center"/>
    </xf>
    <xf numFmtId="2" fontId="2" fillId="10" borderId="3" xfId="0" applyNumberFormat="1" applyFont="1" applyFill="1" applyBorder="1" applyAlignment="1">
      <alignment horizontal="center" vertical="center"/>
    </xf>
    <xf numFmtId="2" fontId="2" fillId="10" borderId="7" xfId="0" applyNumberFormat="1" applyFont="1" applyFill="1" applyBorder="1" applyAlignment="1">
      <alignment horizontal="center" vertical="center"/>
    </xf>
    <xf numFmtId="2" fontId="2" fillId="0" borderId="33" xfId="0" applyNumberFormat="1" applyFont="1" applyBorder="1" applyAlignment="1">
      <alignment horizontal="center" vertical="center"/>
    </xf>
    <xf numFmtId="2" fontId="2" fillId="10" borderId="33"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2" fontId="2" fillId="0" borderId="32" xfId="0" applyNumberFormat="1" applyFont="1" applyBorder="1" applyAlignment="1">
      <alignment horizontal="center" vertical="center"/>
    </xf>
    <xf numFmtId="2" fontId="2" fillId="0" borderId="42" xfId="0" applyNumberFormat="1" applyFont="1" applyBorder="1" applyAlignment="1">
      <alignment horizontal="center" vertical="center"/>
    </xf>
    <xf numFmtId="2" fontId="2" fillId="0" borderId="43" xfId="0" applyNumberFormat="1" applyFont="1" applyBorder="1" applyAlignment="1">
      <alignment horizontal="center" vertical="center"/>
    </xf>
    <xf numFmtId="2" fontId="2" fillId="9" borderId="32" xfId="0" applyNumberFormat="1" applyFont="1" applyFill="1" applyBorder="1" applyAlignment="1">
      <alignment horizontal="center" vertical="center"/>
    </xf>
    <xf numFmtId="2" fontId="2" fillId="9" borderId="42" xfId="0" applyNumberFormat="1" applyFont="1" applyFill="1" applyBorder="1" applyAlignment="1">
      <alignment horizontal="center" vertical="center"/>
    </xf>
    <xf numFmtId="164" fontId="2" fillId="0" borderId="24" xfId="0" applyNumberFormat="1" applyFont="1" applyFill="1" applyBorder="1" applyAlignment="1">
      <alignment horizontal="center" vertical="center"/>
    </xf>
    <xf numFmtId="164" fontId="2" fillId="0" borderId="41" xfId="0" applyNumberFormat="1" applyFont="1" applyFill="1" applyBorder="1" applyAlignment="1">
      <alignment horizontal="center" vertical="center"/>
    </xf>
    <xf numFmtId="2" fontId="0" fillId="11" borderId="4" xfId="0" applyNumberFormat="1" applyFill="1" applyBorder="1" applyAlignment="1">
      <alignment horizontal="center" vertical="center"/>
    </xf>
    <xf numFmtId="2" fontId="0" fillId="11" borderId="11" xfId="0" applyNumberFormat="1" applyFill="1" applyBorder="1" applyAlignment="1">
      <alignment horizontal="center" vertical="center"/>
    </xf>
    <xf numFmtId="2" fontId="0" fillId="11" borderId="12" xfId="0" applyNumberFormat="1" applyFill="1" applyBorder="1" applyAlignment="1">
      <alignment horizontal="center" vertical="center"/>
    </xf>
    <xf numFmtId="2" fontId="2" fillId="11" borderId="33" xfId="0" applyNumberFormat="1" applyFont="1" applyFill="1" applyBorder="1" applyAlignment="1">
      <alignment horizontal="center" vertical="center"/>
    </xf>
    <xf numFmtId="164" fontId="2" fillId="0" borderId="23" xfId="0" applyNumberFormat="1" applyFont="1" applyFill="1" applyBorder="1" applyAlignment="1">
      <alignment horizontal="center" vertical="center"/>
    </xf>
    <xf numFmtId="0" fontId="2" fillId="0" borderId="3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8"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40" xfId="0" applyFont="1" applyFill="1" applyBorder="1" applyAlignment="1">
      <alignment horizontal="center" vertical="center" wrapText="1"/>
    </xf>
    <xf numFmtId="2" fontId="9" fillId="9" borderId="33" xfId="0" applyNumberFormat="1" applyFont="1" applyFill="1" applyBorder="1" applyAlignment="1">
      <alignment horizontal="center" vertical="center"/>
    </xf>
    <xf numFmtId="2" fontId="2" fillId="9" borderId="33" xfId="0" applyNumberFormat="1" applyFont="1" applyFill="1" applyBorder="1" applyAlignment="1">
      <alignment horizontal="center" vertical="center"/>
    </xf>
    <xf numFmtId="49" fontId="0" fillId="0" borderId="1" xfId="0" applyNumberFormat="1" applyBorder="1" applyAlignment="1">
      <alignment horizontal="center" wrapText="1"/>
    </xf>
    <xf numFmtId="2" fontId="0" fillId="12" borderId="4" xfId="0" applyNumberFormat="1" applyFill="1" applyBorder="1" applyAlignment="1">
      <alignment horizontal="center" vertical="center"/>
    </xf>
    <xf numFmtId="2" fontId="0" fillId="12" borderId="11" xfId="0" applyNumberFormat="1" applyFill="1" applyBorder="1" applyAlignment="1">
      <alignment horizontal="center" vertical="center"/>
    </xf>
    <xf numFmtId="2" fontId="0" fillId="12" borderId="12" xfId="0" applyNumberFormat="1" applyFill="1" applyBorder="1" applyAlignment="1">
      <alignment horizontal="center" vertical="center"/>
    </xf>
    <xf numFmtId="2" fontId="6" fillId="9" borderId="13" xfId="0" applyNumberFormat="1" applyFont="1" applyFill="1" applyBorder="1" applyAlignment="1">
      <alignment horizontal="center" vertical="center"/>
    </xf>
    <xf numFmtId="2" fontId="2" fillId="10" borderId="32" xfId="0" applyNumberFormat="1" applyFont="1" applyFill="1" applyBorder="1" applyAlignment="1">
      <alignment horizontal="center" vertical="center"/>
    </xf>
    <xf numFmtId="2" fontId="2" fillId="10" borderId="42" xfId="0" applyNumberFormat="1" applyFont="1" applyFill="1" applyBorder="1" applyAlignment="1">
      <alignment horizontal="center" vertical="center"/>
    </xf>
    <xf numFmtId="49" fontId="0" fillId="0" borderId="2" xfId="0" applyNumberFormat="1" applyBorder="1" applyAlignment="1">
      <alignment horizontal="center" wrapText="1"/>
    </xf>
    <xf numFmtId="165" fontId="6" fillId="12" borderId="22" xfId="0" applyNumberFormat="1" applyFont="1" applyFill="1" applyBorder="1" applyAlignment="1">
      <alignment vertical="center"/>
    </xf>
    <xf numFmtId="2" fontId="9" fillId="9" borderId="28" xfId="0" applyNumberFormat="1" applyFont="1" applyFill="1" applyBorder="1" applyAlignment="1">
      <alignment horizontal="center" vertical="center"/>
    </xf>
    <xf numFmtId="2" fontId="6" fillId="10" borderId="29" xfId="0" applyNumberFormat="1" applyFont="1" applyFill="1" applyBorder="1" applyAlignment="1">
      <alignment horizontal="center" vertical="center"/>
    </xf>
    <xf numFmtId="2" fontId="9" fillId="10" borderId="30" xfId="0" applyNumberFormat="1" applyFont="1" applyFill="1" applyBorder="1" applyAlignment="1">
      <alignment horizontal="center" vertical="center"/>
    </xf>
    <xf numFmtId="2" fontId="2" fillId="0" borderId="33" xfId="0" applyNumberFormat="1" applyFont="1" applyFill="1" applyBorder="1" applyAlignment="1">
      <alignment horizontal="center"/>
    </xf>
    <xf numFmtId="2" fontId="2" fillId="0" borderId="35" xfId="0" applyNumberFormat="1" applyFont="1" applyFill="1" applyBorder="1" applyAlignment="1">
      <alignment horizontal="center"/>
    </xf>
  </cellXfs>
  <cellStyles count="2">
    <cellStyle name="Normale" xfId="0" builtinId="0"/>
    <cellStyle name="Normale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933450</xdr:colOff>
      <xdr:row>0</xdr:row>
      <xdr:rowOff>38100</xdr:rowOff>
    </xdr:from>
    <xdr:to>
      <xdr:col>8</xdr:col>
      <xdr:colOff>514350</xdr:colOff>
      <xdr:row>8</xdr:row>
      <xdr:rowOff>333375</xdr:rowOff>
    </xdr:to>
    <xdr:pic>
      <xdr:nvPicPr>
        <xdr:cNvPr id="7248" name="Immagine 1">
          <a:extLst>
            <a:ext uri="{FF2B5EF4-FFF2-40B4-BE49-F238E27FC236}">
              <a16:creationId xmlns:a16="http://schemas.microsoft.com/office/drawing/2014/main" id="{27AB3D4A-D31E-4B1F-B237-CA319F181A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0" y="38100"/>
          <a:ext cx="47815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3"/>
  <sheetViews>
    <sheetView workbookViewId="0">
      <selection activeCell="E36" sqref="E36:E37"/>
    </sheetView>
  </sheetViews>
  <sheetFormatPr defaultRowHeight="12.75" x14ac:dyDescent="0.2"/>
  <cols>
    <col min="1" max="1" width="5.7109375" style="12" customWidth="1"/>
    <col min="2" max="2" width="22.85546875" style="15" bestFit="1" customWidth="1"/>
    <col min="3" max="3" width="38" style="15" bestFit="1" customWidth="1"/>
    <col min="4" max="4" width="9.85546875" style="12" customWidth="1"/>
    <col min="5" max="5" width="16.28515625" style="12" customWidth="1"/>
    <col min="6" max="6" width="14.140625" style="15" customWidth="1"/>
    <col min="7" max="7" width="11.28515625" style="15" bestFit="1" customWidth="1"/>
    <col min="8" max="8" width="9.140625" style="15"/>
    <col min="9" max="9" width="11.140625" style="15" customWidth="1"/>
    <col min="10" max="10" width="8.85546875" style="15" customWidth="1"/>
    <col min="11" max="19" width="9.140625" style="15"/>
    <col min="20" max="20" width="12" style="15" customWidth="1"/>
    <col min="21" max="21" width="11.28515625" style="15" customWidth="1"/>
    <col min="22" max="22" width="7.42578125" style="15" bestFit="1" customWidth="1"/>
    <col min="23" max="23" width="11" style="15" customWidth="1"/>
    <col min="24" max="24" width="9.5703125" style="15" bestFit="1" customWidth="1"/>
    <col min="25" max="16384" width="9.140625" style="15"/>
  </cols>
  <sheetData>
    <row r="1" spans="1:24" s="10" customFormat="1" ht="26.25" customHeight="1" x14ac:dyDescent="0.2">
      <c r="A1" s="1" t="s">
        <v>0</v>
      </c>
      <c r="B1" s="2" t="s">
        <v>1</v>
      </c>
      <c r="C1" s="1" t="s">
        <v>2</v>
      </c>
      <c r="D1" s="3" t="s">
        <v>89</v>
      </c>
      <c r="E1" s="3" t="s">
        <v>27</v>
      </c>
      <c r="F1" s="1" t="s">
        <v>4</v>
      </c>
      <c r="G1" s="1" t="s">
        <v>5</v>
      </c>
      <c r="H1" s="3" t="s">
        <v>28</v>
      </c>
      <c r="I1" s="3" t="s">
        <v>29</v>
      </c>
      <c r="J1" s="3" t="s">
        <v>30</v>
      </c>
      <c r="K1" s="3" t="s">
        <v>31</v>
      </c>
      <c r="L1" s="3" t="s">
        <v>32</v>
      </c>
      <c r="M1" s="3" t="s">
        <v>33</v>
      </c>
      <c r="N1" s="3" t="s">
        <v>35</v>
      </c>
      <c r="O1" s="3" t="s">
        <v>36</v>
      </c>
      <c r="P1" s="3" t="s">
        <v>34</v>
      </c>
      <c r="Q1" s="3" t="s">
        <v>37</v>
      </c>
      <c r="R1" s="3" t="s">
        <v>38</v>
      </c>
      <c r="S1" s="3" t="s">
        <v>39</v>
      </c>
      <c r="T1" s="3" t="s">
        <v>40</v>
      </c>
      <c r="U1" s="3" t="s">
        <v>41</v>
      </c>
      <c r="V1" s="3" t="s">
        <v>42</v>
      </c>
      <c r="W1" s="3" t="s">
        <v>43</v>
      </c>
      <c r="X1" s="3" t="s">
        <v>44</v>
      </c>
    </row>
    <row r="2" spans="1:24" s="14" customFormat="1" x14ac:dyDescent="0.2">
      <c r="A2" s="4" t="s">
        <v>6</v>
      </c>
      <c r="B2" s="6" t="s">
        <v>7</v>
      </c>
      <c r="C2" s="4" t="s">
        <v>8</v>
      </c>
      <c r="D2" s="99">
        <v>1</v>
      </c>
      <c r="E2" s="11">
        <v>101</v>
      </c>
      <c r="F2" s="12">
        <v>500</v>
      </c>
      <c r="G2" s="13">
        <v>3</v>
      </c>
      <c r="H2" s="16">
        <v>4.4411103920526962</v>
      </c>
      <c r="I2" s="17"/>
      <c r="J2" s="16">
        <v>4.7651720084546678</v>
      </c>
      <c r="K2" s="16">
        <v>4.6397412612693527</v>
      </c>
      <c r="L2" s="16">
        <v>4.8855685853689481</v>
      </c>
      <c r="M2" s="16">
        <v>4.6559442856977364</v>
      </c>
      <c r="N2" s="16">
        <v>4.6558807616275493</v>
      </c>
      <c r="O2" s="16">
        <v>4.6656169012912958</v>
      </c>
      <c r="P2" s="16">
        <v>4.7253575210420742</v>
      </c>
      <c r="Q2" s="16">
        <v>4.3457279513702334</v>
      </c>
      <c r="R2" s="16">
        <v>4.6461094471643518</v>
      </c>
      <c r="S2" s="16">
        <v>3.3778002978891384</v>
      </c>
      <c r="T2" s="16">
        <v>4.8880402538298142</v>
      </c>
      <c r="U2" s="16">
        <v>4.8203135148443801</v>
      </c>
      <c r="V2" s="16">
        <v>5.4950109412308485</v>
      </c>
      <c r="W2" s="16">
        <v>4.6147113993511466</v>
      </c>
      <c r="X2" s="16">
        <v>5.0095517980744599</v>
      </c>
    </row>
    <row r="3" spans="1:24" s="14" customFormat="1" x14ac:dyDescent="0.2">
      <c r="A3" s="4" t="s">
        <v>6</v>
      </c>
      <c r="B3" s="6" t="s">
        <v>7</v>
      </c>
      <c r="C3" s="4" t="s">
        <v>8</v>
      </c>
      <c r="D3" s="99">
        <v>1</v>
      </c>
      <c r="E3" s="11">
        <v>201</v>
      </c>
      <c r="F3" s="12">
        <v>926</v>
      </c>
      <c r="G3" s="13">
        <v>6.5</v>
      </c>
      <c r="H3" s="16">
        <v>4.3578320686328178</v>
      </c>
      <c r="I3" s="16">
        <v>4.5960452190903807</v>
      </c>
      <c r="J3" s="16">
        <v>4.4362539526928719</v>
      </c>
      <c r="K3" s="16">
        <v>4.2922469137940817</v>
      </c>
      <c r="L3" s="16">
        <v>4.9759989400489175</v>
      </c>
      <c r="M3" s="16">
        <v>5.5322803954226298</v>
      </c>
      <c r="N3" s="16">
        <v>4.6450771218050777</v>
      </c>
      <c r="O3" s="16">
        <v>3.6021544332014361</v>
      </c>
      <c r="P3" s="16">
        <v>5.1460101684037385</v>
      </c>
      <c r="Q3" s="16">
        <v>4.2836529837904571</v>
      </c>
      <c r="R3" s="16">
        <v>4.7175585114919327</v>
      </c>
      <c r="S3" s="16">
        <v>4.2574560720806884</v>
      </c>
      <c r="T3" s="16">
        <v>4.8320953745842568</v>
      </c>
      <c r="U3" s="16">
        <v>4.3326316685120236</v>
      </c>
      <c r="V3" s="16">
        <v>5.4488024754746158</v>
      </c>
      <c r="W3" s="16">
        <v>4.4859769591790783</v>
      </c>
      <c r="X3" s="16">
        <v>4.7865191820279218</v>
      </c>
    </row>
    <row r="4" spans="1:24" s="14" customFormat="1" x14ac:dyDescent="0.2">
      <c r="A4" s="4" t="s">
        <v>6</v>
      </c>
      <c r="B4" s="6" t="s">
        <v>7</v>
      </c>
      <c r="C4" s="4" t="s">
        <v>8</v>
      </c>
      <c r="D4" s="99">
        <v>1</v>
      </c>
      <c r="E4" s="11">
        <v>301</v>
      </c>
      <c r="F4" s="12">
        <v>3704</v>
      </c>
      <c r="G4" s="13">
        <v>13.5</v>
      </c>
      <c r="H4" s="16">
        <v>5.116051295347134</v>
      </c>
      <c r="I4" s="16">
        <v>4.0420221169807782</v>
      </c>
      <c r="J4" s="16">
        <v>3.6530368148243042</v>
      </c>
      <c r="K4" s="16">
        <v>3.8352923306724014</v>
      </c>
      <c r="L4" s="16">
        <v>4.2872945058274077</v>
      </c>
      <c r="M4" s="16">
        <v>3.9615220904422532</v>
      </c>
      <c r="N4" s="16">
        <v>4.2804955225248298</v>
      </c>
      <c r="O4" s="16">
        <v>2.8857242876568296</v>
      </c>
      <c r="P4" s="16">
        <v>4.8079443088464355</v>
      </c>
      <c r="Q4" s="16">
        <v>4.1437415214562368</v>
      </c>
      <c r="R4" s="16">
        <v>3.7458912688653174</v>
      </c>
      <c r="S4" s="16">
        <v>4.1422892637149147</v>
      </c>
      <c r="T4" s="16">
        <v>4.4895672542103551</v>
      </c>
      <c r="U4" s="16">
        <v>3.873427438751702</v>
      </c>
      <c r="V4" s="16">
        <v>5.2882153100450493</v>
      </c>
      <c r="W4" s="16">
        <v>3.8618673539443344</v>
      </c>
      <c r="X4" s="16">
        <v>4.7946411199894881</v>
      </c>
    </row>
    <row r="5" spans="1:24" s="14" customFormat="1" x14ac:dyDescent="0.2">
      <c r="A5" s="4" t="s">
        <v>6</v>
      </c>
      <c r="B5" s="4" t="s">
        <v>9</v>
      </c>
      <c r="C5" s="4" t="s">
        <v>46</v>
      </c>
      <c r="D5" s="99">
        <v>8</v>
      </c>
      <c r="E5" s="11">
        <v>108</v>
      </c>
      <c r="F5" s="12">
        <v>500</v>
      </c>
      <c r="G5" s="13">
        <v>2</v>
      </c>
      <c r="H5" s="16">
        <v>4.8924176256214009</v>
      </c>
      <c r="I5" s="16">
        <v>4.8312835399875427</v>
      </c>
      <c r="J5" s="16">
        <v>4.4570667814546141</v>
      </c>
      <c r="K5" s="16">
        <v>4.3921021142005623</v>
      </c>
      <c r="L5" s="16">
        <v>5.2466393258681956</v>
      </c>
      <c r="M5" s="16">
        <v>4.0934093047624733</v>
      </c>
      <c r="N5" s="16">
        <v>5.0761102404454927</v>
      </c>
      <c r="O5" s="16">
        <v>3.7277146193490758</v>
      </c>
      <c r="P5" s="16">
        <v>4.4013597759214811</v>
      </c>
      <c r="Q5" s="16">
        <v>5.1012030709631997</v>
      </c>
      <c r="R5" s="16">
        <v>4.0247318935433345</v>
      </c>
      <c r="S5" s="16">
        <v>4.3672463400700119</v>
      </c>
      <c r="T5" s="16">
        <v>4.3254695545441537</v>
      </c>
      <c r="U5" s="16">
        <v>4.2827586951729746</v>
      </c>
      <c r="V5" s="16">
        <v>5.5586284664914603</v>
      </c>
      <c r="W5" s="16">
        <v>4.5307271049410511</v>
      </c>
      <c r="X5" s="16">
        <v>5.7440342875739017</v>
      </c>
    </row>
    <row r="6" spans="1:24" s="14" customFormat="1" x14ac:dyDescent="0.2">
      <c r="A6" s="4" t="s">
        <v>6</v>
      </c>
      <c r="B6" s="4" t="s">
        <v>9</v>
      </c>
      <c r="C6" s="4" t="s">
        <v>46</v>
      </c>
      <c r="D6" s="99">
        <v>8</v>
      </c>
      <c r="E6" s="11">
        <v>208</v>
      </c>
      <c r="F6" s="12">
        <v>926</v>
      </c>
      <c r="G6" s="13">
        <v>4.5</v>
      </c>
      <c r="H6" s="16">
        <v>4.8429685681011971</v>
      </c>
      <c r="I6" s="16">
        <v>4.8063618101948817</v>
      </c>
      <c r="J6" s="16">
        <v>4.6148123619445904</v>
      </c>
      <c r="K6" s="16">
        <v>4.0632714267950849</v>
      </c>
      <c r="L6" s="16">
        <v>4.767391429796688</v>
      </c>
      <c r="M6" s="16">
        <v>3.5540992380291758</v>
      </c>
      <c r="N6" s="16">
        <v>5.5396101125295072</v>
      </c>
      <c r="O6" s="16">
        <v>3.9647389140660825</v>
      </c>
      <c r="P6" s="16">
        <v>4.4174780144444021</v>
      </c>
      <c r="Q6" s="16">
        <v>4.6126285290265709</v>
      </c>
      <c r="R6" s="16">
        <v>3.708141051678961</v>
      </c>
      <c r="S6" s="16">
        <v>3.964744853178348</v>
      </c>
      <c r="T6" s="16">
        <v>4.3820138953838423</v>
      </c>
      <c r="U6" s="16">
        <v>4.1420600081110894</v>
      </c>
      <c r="V6" s="16">
        <v>5.343296413748603</v>
      </c>
      <c r="W6" s="16">
        <v>4.5156536886364709</v>
      </c>
      <c r="X6" s="16">
        <v>5.1481900156084093</v>
      </c>
    </row>
    <row r="7" spans="1:24" s="14" customFormat="1" x14ac:dyDescent="0.2">
      <c r="A7" s="4" t="s">
        <v>6</v>
      </c>
      <c r="B7" s="4" t="s">
        <v>9</v>
      </c>
      <c r="C7" s="4" t="s">
        <v>46</v>
      </c>
      <c r="D7" s="99">
        <v>8</v>
      </c>
      <c r="E7" s="11">
        <v>308</v>
      </c>
      <c r="F7" s="12">
        <v>3704</v>
      </c>
      <c r="G7" s="13">
        <v>13</v>
      </c>
      <c r="H7" s="16">
        <v>4.5060718579102872</v>
      </c>
      <c r="I7" s="16">
        <v>4.8889835612247134</v>
      </c>
      <c r="J7" s="16">
        <v>3.9272768470781889</v>
      </c>
      <c r="K7" s="16">
        <v>4.311088580238164</v>
      </c>
      <c r="L7" s="16">
        <v>4.2400649574746563</v>
      </c>
      <c r="M7" s="16">
        <v>3.5119692633201938</v>
      </c>
      <c r="N7" s="16">
        <v>5.3657376158358367</v>
      </c>
      <c r="O7" s="16">
        <v>3.7047435943901195</v>
      </c>
      <c r="P7" s="16">
        <v>4.5102995970463766</v>
      </c>
      <c r="Q7" s="16">
        <v>4.7897257736806438</v>
      </c>
      <c r="R7" s="16">
        <v>3.7652054179696277</v>
      </c>
      <c r="S7" s="16">
        <v>4.1204586875021532</v>
      </c>
      <c r="T7" s="16">
        <v>3.7725901831666198</v>
      </c>
      <c r="U7" s="16">
        <v>4.0531408056088924</v>
      </c>
      <c r="V7" s="16">
        <v>5.2377259071985218</v>
      </c>
      <c r="W7" s="16">
        <v>4.3419120210428277</v>
      </c>
      <c r="X7" s="16">
        <v>5.5044603407798629</v>
      </c>
    </row>
    <row r="8" spans="1:24" s="14" customFormat="1" x14ac:dyDescent="0.2">
      <c r="A8" s="4" t="s">
        <v>6</v>
      </c>
      <c r="B8" s="4" t="s">
        <v>9</v>
      </c>
      <c r="C8" s="4" t="s">
        <v>10</v>
      </c>
      <c r="D8" s="99">
        <v>10</v>
      </c>
      <c r="E8" s="11">
        <v>110</v>
      </c>
      <c r="F8" s="12">
        <v>500</v>
      </c>
      <c r="G8" s="13">
        <v>2</v>
      </c>
      <c r="H8" s="16">
        <v>4.730844968207701</v>
      </c>
      <c r="I8" s="16">
        <v>5.2705603250184279</v>
      </c>
      <c r="J8" s="16">
        <v>5.2027549123407235</v>
      </c>
      <c r="K8" s="16">
        <v>5.0430447338897517</v>
      </c>
      <c r="L8" s="16">
        <v>5.7634559882450018</v>
      </c>
      <c r="M8" s="16">
        <v>4.8512583422129412</v>
      </c>
      <c r="N8" s="16">
        <v>5.296171054145745</v>
      </c>
      <c r="O8" s="16">
        <v>3.3169212895414404</v>
      </c>
      <c r="P8" s="16">
        <v>4.6741995580962001</v>
      </c>
      <c r="Q8" s="16">
        <v>4.7844872355065347</v>
      </c>
      <c r="R8" s="16">
        <v>4.8509394020323873</v>
      </c>
      <c r="S8" s="16">
        <v>4.083247468990999</v>
      </c>
      <c r="T8" s="16">
        <v>4.5697523766207562</v>
      </c>
      <c r="U8" s="16">
        <v>4.0657028094738088</v>
      </c>
      <c r="V8" s="16">
        <v>5.1735418944209277</v>
      </c>
      <c r="W8" s="16">
        <v>4.5706700196052346</v>
      </c>
      <c r="X8" s="16">
        <v>5.7515148035679333</v>
      </c>
    </row>
    <row r="9" spans="1:24" s="14" customFormat="1" x14ac:dyDescent="0.2">
      <c r="A9" s="4" t="s">
        <v>6</v>
      </c>
      <c r="B9" s="4" t="s">
        <v>9</v>
      </c>
      <c r="C9" s="4" t="s">
        <v>10</v>
      </c>
      <c r="D9" s="99">
        <v>10</v>
      </c>
      <c r="E9" s="11">
        <v>210</v>
      </c>
      <c r="F9" s="12">
        <v>926</v>
      </c>
      <c r="G9" s="13">
        <v>4.5</v>
      </c>
      <c r="H9" s="16">
        <v>5.1842101649864327</v>
      </c>
      <c r="I9" s="16">
        <v>4.5952062503691637</v>
      </c>
      <c r="J9" s="16">
        <v>5.0557254618042338</v>
      </c>
      <c r="K9" s="16">
        <v>4.661373876311675</v>
      </c>
      <c r="L9" s="16">
        <v>4.9861057420285917</v>
      </c>
      <c r="M9" s="16">
        <v>4.1761236704409086</v>
      </c>
      <c r="N9" s="16">
        <v>4.9843691164126955</v>
      </c>
      <c r="O9" s="16">
        <v>5.0901489593004836</v>
      </c>
      <c r="P9" s="16">
        <v>4.6137490281386375</v>
      </c>
      <c r="Q9" s="16">
        <v>5.413459799122081</v>
      </c>
      <c r="R9" s="16">
        <v>4.6143570673130414</v>
      </c>
      <c r="S9" s="16">
        <v>4.0177464432317862</v>
      </c>
      <c r="T9" s="16">
        <v>4.4979044629089451</v>
      </c>
      <c r="U9" s="16">
        <v>4.0076415768522189</v>
      </c>
      <c r="V9" s="16">
        <v>5.9817517720005391</v>
      </c>
      <c r="W9" s="16">
        <v>4.3089507720383073</v>
      </c>
      <c r="X9" s="16">
        <v>5.6137457636972847</v>
      </c>
    </row>
    <row r="10" spans="1:24" s="14" customFormat="1" x14ac:dyDescent="0.2">
      <c r="A10" s="4" t="s">
        <v>6</v>
      </c>
      <c r="B10" s="4" t="s">
        <v>9</v>
      </c>
      <c r="C10" s="4" t="s">
        <v>10</v>
      </c>
      <c r="D10" s="99">
        <v>10</v>
      </c>
      <c r="E10" s="11">
        <v>310</v>
      </c>
      <c r="F10" s="12">
        <v>3704</v>
      </c>
      <c r="G10" s="13">
        <v>11.5</v>
      </c>
      <c r="H10" s="16">
        <v>5.170607262920619</v>
      </c>
      <c r="I10" s="16">
        <v>4.2614369899237721</v>
      </c>
      <c r="J10" s="16">
        <v>4.1704102217551853</v>
      </c>
      <c r="K10" s="16">
        <v>4.9383272524661024</v>
      </c>
      <c r="L10" s="16">
        <v>5.1393091939390461</v>
      </c>
      <c r="M10" s="16">
        <v>3.1043024331448592</v>
      </c>
      <c r="N10" s="16">
        <v>5.010151668343406</v>
      </c>
      <c r="O10" s="16">
        <v>4.0943469973323516</v>
      </c>
      <c r="P10" s="16">
        <v>3.7753316455300832</v>
      </c>
      <c r="Q10" s="16">
        <v>3.2144679320711864</v>
      </c>
      <c r="R10" s="16">
        <v>3.9814443499241143</v>
      </c>
      <c r="S10" s="16">
        <v>3.8567902681965727</v>
      </c>
      <c r="T10" s="16">
        <v>4.0271364969990078</v>
      </c>
      <c r="U10" s="16">
        <v>3.1527881484845914</v>
      </c>
      <c r="V10" s="16">
        <v>5.7272603679787162</v>
      </c>
      <c r="W10" s="16">
        <v>4.7156820431571749</v>
      </c>
      <c r="X10" s="16">
        <v>5.5704551848658186</v>
      </c>
    </row>
    <row r="11" spans="1:24" s="14" customFormat="1" x14ac:dyDescent="0.2">
      <c r="A11" s="4" t="s">
        <v>6</v>
      </c>
      <c r="B11" s="4" t="s">
        <v>9</v>
      </c>
      <c r="C11" s="4" t="s">
        <v>11</v>
      </c>
      <c r="D11" s="99">
        <v>15</v>
      </c>
      <c r="E11" s="11">
        <v>115</v>
      </c>
      <c r="F11" s="12">
        <v>500</v>
      </c>
      <c r="G11" s="13">
        <v>2.5</v>
      </c>
      <c r="H11" s="16">
        <v>5.179666558041653</v>
      </c>
      <c r="I11" s="16">
        <v>5.220133614718061</v>
      </c>
      <c r="J11" s="16">
        <v>4.4442448902097533</v>
      </c>
      <c r="K11" s="16">
        <v>4.1348308861079399</v>
      </c>
      <c r="L11" s="16">
        <v>5.1238530773884863</v>
      </c>
      <c r="M11" s="16">
        <v>5.0146139317614491</v>
      </c>
      <c r="N11" s="16">
        <v>6.0046670153125499</v>
      </c>
      <c r="O11" s="16">
        <v>5.9550582682910633</v>
      </c>
      <c r="P11" s="16">
        <v>4.9554253533349319</v>
      </c>
      <c r="Q11" s="16">
        <v>5.6400456064791298</v>
      </c>
      <c r="R11" s="16">
        <v>4.7364077099873194</v>
      </c>
      <c r="S11" s="16">
        <v>4.7646836894923714</v>
      </c>
      <c r="T11" s="16">
        <v>5.1500493392322824</v>
      </c>
      <c r="U11" s="16">
        <v>4.6353706683797995</v>
      </c>
      <c r="V11" s="16">
        <v>5.9395122008357628</v>
      </c>
      <c r="W11" s="16">
        <v>4.5308961530602749</v>
      </c>
      <c r="X11" s="16">
        <v>5.9588432311830486</v>
      </c>
    </row>
    <row r="12" spans="1:24" s="14" customFormat="1" x14ac:dyDescent="0.2">
      <c r="A12" s="4" t="s">
        <v>6</v>
      </c>
      <c r="B12" s="4" t="s">
        <v>9</v>
      </c>
      <c r="C12" s="4" t="s">
        <v>11</v>
      </c>
      <c r="D12" s="99">
        <v>15</v>
      </c>
      <c r="E12" s="11">
        <v>215</v>
      </c>
      <c r="F12" s="12">
        <v>926</v>
      </c>
      <c r="G12" s="13">
        <v>6</v>
      </c>
      <c r="H12" s="16">
        <v>5.2709225538392186</v>
      </c>
      <c r="I12" s="16">
        <v>3.9827659039516137</v>
      </c>
      <c r="J12" s="16">
        <v>4.7799256342345933</v>
      </c>
      <c r="K12" s="16">
        <v>4.797279181848717</v>
      </c>
      <c r="L12" s="16">
        <v>4.6125200218875353</v>
      </c>
      <c r="M12" s="16">
        <v>4.3758080862543922</v>
      </c>
      <c r="N12" s="16">
        <v>5.6835365162105758</v>
      </c>
      <c r="O12" s="16">
        <v>5.9185703619067045</v>
      </c>
      <c r="P12" s="16">
        <v>5.6696787899115666</v>
      </c>
      <c r="Q12" s="16">
        <v>5.8961221351977757</v>
      </c>
      <c r="R12" s="16">
        <v>5.2412451248248786</v>
      </c>
      <c r="S12" s="16">
        <v>4.5883414563890215</v>
      </c>
      <c r="T12" s="16">
        <v>4.7884437851104238</v>
      </c>
      <c r="U12" s="16">
        <v>3.7726118200411092</v>
      </c>
      <c r="V12" s="16">
        <v>5.9948160687296816</v>
      </c>
      <c r="W12" s="16">
        <v>4.8388456450182487</v>
      </c>
      <c r="X12" s="16">
        <v>5.753417228478555</v>
      </c>
    </row>
    <row r="13" spans="1:24" s="14" customFormat="1" x14ac:dyDescent="0.2">
      <c r="A13" s="4" t="s">
        <v>6</v>
      </c>
      <c r="B13" s="4" t="s">
        <v>9</v>
      </c>
      <c r="C13" s="4" t="s">
        <v>11</v>
      </c>
      <c r="D13" s="99">
        <v>15</v>
      </c>
      <c r="E13" s="11">
        <v>315</v>
      </c>
      <c r="F13" s="12">
        <v>3704</v>
      </c>
      <c r="G13" s="13">
        <v>13.5</v>
      </c>
      <c r="H13" s="16">
        <v>4.7842050922266317</v>
      </c>
      <c r="I13" s="16">
        <v>4.9628993306404352</v>
      </c>
      <c r="J13" s="16">
        <v>2.5074823068771686</v>
      </c>
      <c r="K13" s="16">
        <v>4.5953498909340231</v>
      </c>
      <c r="L13" s="16">
        <v>4.4476491874064319</v>
      </c>
      <c r="M13" s="16">
        <v>3.782586177470459</v>
      </c>
      <c r="N13" s="16">
        <v>5.3228515501715625</v>
      </c>
      <c r="O13" s="16">
        <v>3.6722274671265493</v>
      </c>
      <c r="P13" s="16">
        <v>4.6965326329844403</v>
      </c>
      <c r="Q13" s="16">
        <v>3.1136879656856098</v>
      </c>
      <c r="R13" s="16">
        <v>3.9580427519626538</v>
      </c>
      <c r="S13" s="16">
        <v>3.4062591261095427</v>
      </c>
      <c r="T13" s="16">
        <v>4.4077211220280645</v>
      </c>
      <c r="U13" s="16">
        <v>3.8193304176573215</v>
      </c>
      <c r="V13" s="16">
        <v>5.7037040842063131</v>
      </c>
      <c r="W13" s="16">
        <v>4.2217290983703082</v>
      </c>
      <c r="X13" s="16">
        <v>5.3133630068309143</v>
      </c>
    </row>
    <row r="14" spans="1:24" s="14" customFormat="1" x14ac:dyDescent="0.2">
      <c r="A14" s="4" t="s">
        <v>6</v>
      </c>
      <c r="B14" s="4" t="s">
        <v>12</v>
      </c>
      <c r="C14" s="4" t="s">
        <v>47</v>
      </c>
      <c r="D14" s="99">
        <v>24</v>
      </c>
      <c r="E14" s="11">
        <v>124</v>
      </c>
      <c r="F14" s="12">
        <v>500</v>
      </c>
      <c r="G14" s="13">
        <v>2.5</v>
      </c>
      <c r="H14" s="16">
        <v>4.9156454254696964</v>
      </c>
      <c r="I14" s="16">
        <v>5.5962124525356263</v>
      </c>
      <c r="J14" s="16">
        <v>4.865286236678303</v>
      </c>
      <c r="K14" s="16">
        <v>3.8219441136019627</v>
      </c>
      <c r="L14" s="16">
        <v>4.7494592413953658</v>
      </c>
      <c r="M14" s="16">
        <v>4.4478819531928426</v>
      </c>
      <c r="N14" s="16">
        <v>5.8282974889853563</v>
      </c>
      <c r="O14" s="16">
        <v>5.2724524369303429</v>
      </c>
      <c r="P14" s="16">
        <v>4.319969827194023</v>
      </c>
      <c r="Q14" s="16">
        <v>5.0538768063398303</v>
      </c>
      <c r="R14" s="16">
        <v>5.5631544444766226</v>
      </c>
      <c r="S14" s="16">
        <v>4.9257143804812644</v>
      </c>
      <c r="T14" s="16">
        <v>5.0162212264367243</v>
      </c>
      <c r="U14" s="16">
        <v>4.3354169127548694</v>
      </c>
      <c r="V14" s="16">
        <v>5.865496613393514</v>
      </c>
      <c r="W14" s="16">
        <v>4.6989547208034006</v>
      </c>
      <c r="X14" s="16">
        <v>5.3581197463379988</v>
      </c>
    </row>
    <row r="15" spans="1:24" s="14" customFormat="1" x14ac:dyDescent="0.2">
      <c r="A15" s="4" t="s">
        <v>6</v>
      </c>
      <c r="B15" s="4" t="s">
        <v>12</v>
      </c>
      <c r="C15" s="4" t="s">
        <v>47</v>
      </c>
      <c r="D15" s="99">
        <v>24</v>
      </c>
      <c r="E15" s="11">
        <v>224</v>
      </c>
      <c r="F15" s="12">
        <v>926</v>
      </c>
      <c r="G15" s="13">
        <v>6.5</v>
      </c>
      <c r="H15" s="16">
        <v>5.0956832037965274</v>
      </c>
      <c r="I15" s="16">
        <v>5.1394406416408742</v>
      </c>
      <c r="J15" s="16">
        <v>4.7997286083858341</v>
      </c>
      <c r="K15" s="16">
        <v>4.3201589659573898</v>
      </c>
      <c r="L15" s="16">
        <v>5.1487495816262108</v>
      </c>
      <c r="M15" s="16">
        <v>4.1745201372909415</v>
      </c>
      <c r="N15" s="16">
        <v>5.9380213094383674</v>
      </c>
      <c r="O15" s="16">
        <v>5.4262235777668284</v>
      </c>
      <c r="P15" s="16">
        <v>4.4639731365662092</v>
      </c>
      <c r="Q15" s="16">
        <v>3.7538147946485654</v>
      </c>
      <c r="R15" s="16">
        <v>4.1091856797971422</v>
      </c>
      <c r="S15" s="16">
        <v>4.7902023900561836</v>
      </c>
      <c r="T15" s="16">
        <v>4.8044443943107495</v>
      </c>
      <c r="U15" s="16">
        <v>4.4705977942685964</v>
      </c>
      <c r="V15" s="16">
        <v>5.6479223893494073</v>
      </c>
      <c r="W15" s="16">
        <v>4.699484901630627</v>
      </c>
      <c r="X15" s="16">
        <v>5.3890719246524004</v>
      </c>
    </row>
    <row r="16" spans="1:24" s="14" customFormat="1" x14ac:dyDescent="0.2">
      <c r="A16" s="4" t="s">
        <v>6</v>
      </c>
      <c r="B16" s="4" t="s">
        <v>12</v>
      </c>
      <c r="C16" s="4" t="s">
        <v>47</v>
      </c>
      <c r="D16" s="99">
        <v>24</v>
      </c>
      <c r="E16" s="11">
        <v>324</v>
      </c>
      <c r="F16" s="12">
        <v>3704</v>
      </c>
      <c r="G16" s="13">
        <v>15</v>
      </c>
      <c r="H16" s="16">
        <v>5.1437234203549211</v>
      </c>
      <c r="I16" s="16">
        <v>5.3455015070649186</v>
      </c>
      <c r="J16" s="16">
        <v>4.211521553017521</v>
      </c>
      <c r="K16" s="16">
        <v>4.1964296877430529</v>
      </c>
      <c r="L16" s="16">
        <v>5.1256935598655797</v>
      </c>
      <c r="M16" s="16">
        <v>3.9434053016926538</v>
      </c>
      <c r="N16" s="16">
        <v>5.1848912394900815</v>
      </c>
      <c r="O16" s="16">
        <v>4.8552531995227639</v>
      </c>
      <c r="P16" s="16">
        <v>3.5035412797073806</v>
      </c>
      <c r="Q16" s="16">
        <v>3.4577570150563797</v>
      </c>
      <c r="R16" s="16">
        <v>3.9899368758192941</v>
      </c>
      <c r="S16" s="16">
        <v>4.0285848024050139</v>
      </c>
      <c r="T16" s="16">
        <v>3.6967810122894194</v>
      </c>
      <c r="U16" s="16">
        <v>3.5309288576115438</v>
      </c>
      <c r="V16" s="16">
        <v>4.6399605461901707</v>
      </c>
      <c r="W16" s="16">
        <v>3.7780378900914386</v>
      </c>
      <c r="X16" s="16">
        <v>5.3728398926149792</v>
      </c>
    </row>
    <row r="17" spans="1:24" s="14" customFormat="1" x14ac:dyDescent="0.2">
      <c r="A17" s="4" t="s">
        <v>6</v>
      </c>
      <c r="B17" s="6" t="s">
        <v>13</v>
      </c>
      <c r="C17" s="4" t="s">
        <v>14</v>
      </c>
      <c r="D17" s="99">
        <v>32</v>
      </c>
      <c r="E17" s="11">
        <v>132</v>
      </c>
      <c r="F17" s="12">
        <v>500</v>
      </c>
      <c r="G17" s="13">
        <v>2.5</v>
      </c>
      <c r="H17" s="16">
        <v>5.4202133476041521</v>
      </c>
      <c r="I17" s="16">
        <v>5.0358336324634694</v>
      </c>
      <c r="J17" s="16">
        <v>5.0029902380785432</v>
      </c>
      <c r="K17" s="16">
        <v>4.2220449841589609</v>
      </c>
      <c r="L17" s="16">
        <v>4.2667199260878936</v>
      </c>
      <c r="M17" s="16">
        <v>4.0083629701027199</v>
      </c>
      <c r="N17" s="16">
        <v>5.6872386335012139</v>
      </c>
      <c r="O17" s="16">
        <v>5.3843780758573425</v>
      </c>
      <c r="P17" s="16">
        <v>3.72513636040118</v>
      </c>
      <c r="Q17" s="16">
        <v>5.2524774592083512</v>
      </c>
      <c r="R17" s="16">
        <v>5.1222812382541161</v>
      </c>
      <c r="S17" s="16">
        <v>5.3869085547505078</v>
      </c>
      <c r="T17" s="16">
        <v>5.3544441439468304</v>
      </c>
      <c r="U17" s="16">
        <v>4.9386875044463947</v>
      </c>
      <c r="V17" s="16">
        <v>5.5337073501345602</v>
      </c>
      <c r="W17" s="16">
        <v>4.8026203641787486</v>
      </c>
      <c r="X17" s="16">
        <v>5.9341191342508033</v>
      </c>
    </row>
    <row r="18" spans="1:24" s="14" customFormat="1" x14ac:dyDescent="0.2">
      <c r="A18" s="4" t="s">
        <v>6</v>
      </c>
      <c r="B18" s="6" t="s">
        <v>13</v>
      </c>
      <c r="C18" s="4" t="s">
        <v>14</v>
      </c>
      <c r="D18" s="99">
        <v>32</v>
      </c>
      <c r="E18" s="11">
        <v>232</v>
      </c>
      <c r="F18" s="12">
        <v>926</v>
      </c>
      <c r="G18" s="13">
        <v>6.5</v>
      </c>
      <c r="H18" s="16">
        <v>5.6599144740170715</v>
      </c>
      <c r="I18" s="16">
        <v>5.466971051114224</v>
      </c>
      <c r="J18" s="16">
        <v>4.679869509758551</v>
      </c>
      <c r="K18" s="16">
        <v>4.9867424975665209</v>
      </c>
      <c r="L18" s="16">
        <v>5.7543239104348061</v>
      </c>
      <c r="M18" s="16">
        <v>4.7233494578070481</v>
      </c>
      <c r="N18" s="16">
        <v>5.6270289893816612</v>
      </c>
      <c r="O18" s="16">
        <v>5.5651353948481646</v>
      </c>
      <c r="P18" s="16">
        <v>4.3503102720109883</v>
      </c>
      <c r="Q18" s="16">
        <v>5.5325460033645282</v>
      </c>
      <c r="R18" s="16">
        <v>5.1868926001848097</v>
      </c>
      <c r="S18" s="16">
        <v>5.314741996127454</v>
      </c>
      <c r="T18" s="16">
        <v>5.3057283322375088</v>
      </c>
      <c r="U18" s="16">
        <v>5.01590153700573</v>
      </c>
      <c r="V18" s="16">
        <v>4.9687942045176339</v>
      </c>
      <c r="W18" s="16">
        <v>4.6565733985571285</v>
      </c>
      <c r="X18" s="16">
        <v>5.9412169753241679</v>
      </c>
    </row>
    <row r="19" spans="1:24" s="14" customFormat="1" x14ac:dyDescent="0.2">
      <c r="A19" s="4" t="s">
        <v>6</v>
      </c>
      <c r="B19" s="6" t="s">
        <v>13</v>
      </c>
      <c r="C19" s="4" t="s">
        <v>14</v>
      </c>
      <c r="D19" s="99">
        <v>32</v>
      </c>
      <c r="E19" s="11">
        <v>332</v>
      </c>
      <c r="F19" s="12">
        <v>3704</v>
      </c>
      <c r="G19" s="13">
        <v>16</v>
      </c>
      <c r="H19" s="16">
        <v>5.0879759648117719</v>
      </c>
      <c r="I19" s="16">
        <v>5.2064875931309809</v>
      </c>
      <c r="J19" s="16">
        <v>3.745775390975143</v>
      </c>
      <c r="K19" s="16">
        <v>4.4120651755796017</v>
      </c>
      <c r="L19" s="16">
        <v>5.226701592964285</v>
      </c>
      <c r="M19" s="16">
        <v>4.4247424601691456</v>
      </c>
      <c r="N19" s="16">
        <v>4.0002342440514465</v>
      </c>
      <c r="O19" s="16">
        <v>3.9324379816004602</v>
      </c>
      <c r="P19" s="16">
        <v>3.6144102559489584</v>
      </c>
      <c r="Q19" s="16">
        <v>3.4926358229303345</v>
      </c>
      <c r="R19" s="16">
        <v>4.4091717117409015</v>
      </c>
      <c r="S19" s="16">
        <v>4.975113505316342</v>
      </c>
      <c r="T19" s="16">
        <v>4.6402354915973216</v>
      </c>
      <c r="U19" s="16">
        <v>2.8741372492611199</v>
      </c>
      <c r="V19" s="16">
        <v>5.1865484676864719</v>
      </c>
      <c r="W19" s="16">
        <v>3.7392073977234892</v>
      </c>
      <c r="X19" s="16">
        <v>5.2721708516296166</v>
      </c>
    </row>
    <row r="20" spans="1:24" s="14" customFormat="1" x14ac:dyDescent="0.2">
      <c r="A20" s="4" t="s">
        <v>6</v>
      </c>
      <c r="B20" s="6" t="s">
        <v>13</v>
      </c>
      <c r="C20" s="4" t="s">
        <v>48</v>
      </c>
      <c r="D20" s="99">
        <v>40</v>
      </c>
      <c r="E20" s="11">
        <v>140</v>
      </c>
      <c r="F20" s="12">
        <v>500</v>
      </c>
      <c r="G20" s="13">
        <v>3</v>
      </c>
      <c r="H20" s="16">
        <v>4.7314403312869482</v>
      </c>
      <c r="I20" s="16">
        <v>5.0178677646067804</v>
      </c>
      <c r="J20" s="16">
        <v>4.4290198348019238</v>
      </c>
      <c r="K20" s="16">
        <v>4.2316572013442251</v>
      </c>
      <c r="L20" s="16">
        <v>5.6544891942727888</v>
      </c>
      <c r="M20" s="16">
        <v>3.0380046248381793</v>
      </c>
      <c r="N20" s="16">
        <v>5.7765420263298664</v>
      </c>
      <c r="O20" s="16">
        <v>4.6404455813243084</v>
      </c>
      <c r="P20" s="16">
        <v>4.8928850765906988</v>
      </c>
      <c r="Q20" s="16">
        <v>4.0446928995740405</v>
      </c>
      <c r="R20" s="16">
        <v>4.4026496865560203</v>
      </c>
      <c r="S20" s="16">
        <v>4.0918036827631035</v>
      </c>
      <c r="T20" s="16">
        <v>4.8725979392794105</v>
      </c>
      <c r="U20" s="16">
        <v>3.7424792715138766</v>
      </c>
      <c r="V20" s="16">
        <v>5.1866837165396324</v>
      </c>
      <c r="W20" s="16">
        <v>4.4086427974500282</v>
      </c>
      <c r="X20" s="16">
        <v>5.343094018786406</v>
      </c>
    </row>
    <row r="21" spans="1:24" s="14" customFormat="1" x14ac:dyDescent="0.2">
      <c r="A21" s="4" t="s">
        <v>6</v>
      </c>
      <c r="B21" s="6" t="s">
        <v>13</v>
      </c>
      <c r="C21" s="4" t="s">
        <v>48</v>
      </c>
      <c r="D21" s="99">
        <v>40</v>
      </c>
      <c r="E21" s="11">
        <v>240</v>
      </c>
      <c r="F21" s="12">
        <v>926</v>
      </c>
      <c r="G21" s="13">
        <v>6.5</v>
      </c>
      <c r="H21" s="16">
        <v>4.4690209899603142</v>
      </c>
      <c r="I21" s="16">
        <v>4.5955053700396125</v>
      </c>
      <c r="J21" s="16">
        <v>4.1625480184650696</v>
      </c>
      <c r="K21" s="16">
        <v>3.9093292825718096</v>
      </c>
      <c r="L21" s="16">
        <v>5.1509468843070882</v>
      </c>
      <c r="M21" s="16">
        <v>3.0585482515573528</v>
      </c>
      <c r="N21" s="16">
        <v>5.2769406443856006</v>
      </c>
      <c r="O21" s="16">
        <v>4.6095175792409089</v>
      </c>
      <c r="P21" s="16">
        <v>4.6271242223082902</v>
      </c>
      <c r="Q21" s="16">
        <v>4.2574051098934831</v>
      </c>
      <c r="R21" s="16">
        <v>4.390079349143158</v>
      </c>
      <c r="S21" s="16">
        <v>4.9021395599998092</v>
      </c>
      <c r="T21" s="16">
        <v>5.0896717324545309</v>
      </c>
      <c r="U21" s="16">
        <v>4.0182663030597823</v>
      </c>
      <c r="V21" s="16">
        <v>4.6206526407012012</v>
      </c>
      <c r="W21" s="16">
        <v>4.2832658495391351</v>
      </c>
      <c r="X21" s="16">
        <v>4.7543833348603579</v>
      </c>
    </row>
    <row r="22" spans="1:24" s="14" customFormat="1" x14ac:dyDescent="0.2">
      <c r="A22" s="4" t="s">
        <v>6</v>
      </c>
      <c r="B22" s="6" t="s">
        <v>13</v>
      </c>
      <c r="C22" s="4" t="s">
        <v>48</v>
      </c>
      <c r="D22" s="99">
        <v>40</v>
      </c>
      <c r="E22" s="11">
        <v>340</v>
      </c>
      <c r="F22" s="12">
        <v>3704</v>
      </c>
      <c r="G22" s="13">
        <v>13</v>
      </c>
      <c r="H22" s="16">
        <v>4.680375218621422</v>
      </c>
      <c r="I22" s="16">
        <v>4.6896360222852573</v>
      </c>
      <c r="J22" s="16">
        <v>4.9127970732589601</v>
      </c>
      <c r="K22" s="16">
        <v>3.734600970457933</v>
      </c>
      <c r="L22" s="16">
        <v>4.9976405659840948</v>
      </c>
      <c r="M22" s="16">
        <v>3.689501532956196</v>
      </c>
      <c r="N22" s="16">
        <v>5.1461471773739067</v>
      </c>
      <c r="O22" s="16">
        <v>4.1114115217441984</v>
      </c>
      <c r="P22" s="16">
        <v>4.4628903381400997</v>
      </c>
      <c r="Q22" s="16">
        <v>3.6593184503416687</v>
      </c>
      <c r="R22" s="16">
        <v>3.5607579592504202</v>
      </c>
      <c r="S22" s="16">
        <v>4.2679674913747903</v>
      </c>
      <c r="T22" s="16">
        <v>4.8212588452299654</v>
      </c>
      <c r="U22" s="16">
        <v>4.061763081356097</v>
      </c>
      <c r="V22" s="16">
        <v>3.0534191801192172</v>
      </c>
      <c r="W22" s="16">
        <v>4.3073612324062784</v>
      </c>
      <c r="X22" s="16">
        <v>4.8647180452846177</v>
      </c>
    </row>
    <row r="23" spans="1:24" s="14" customFormat="1" x14ac:dyDescent="0.2">
      <c r="A23" s="4" t="s">
        <v>6</v>
      </c>
      <c r="B23" s="20" t="s">
        <v>49</v>
      </c>
      <c r="C23" s="20" t="s">
        <v>15</v>
      </c>
      <c r="D23" s="99">
        <v>47</v>
      </c>
      <c r="E23" s="11">
        <v>147</v>
      </c>
      <c r="F23" s="12">
        <v>500</v>
      </c>
      <c r="G23" s="13">
        <v>2</v>
      </c>
      <c r="H23" s="16">
        <v>4.6123289340329912</v>
      </c>
      <c r="I23" s="16">
        <v>4.9286844499312865</v>
      </c>
      <c r="J23" s="16">
        <v>4.7160112346692777</v>
      </c>
      <c r="K23" s="16">
        <v>2.01785561096258</v>
      </c>
      <c r="L23" s="16">
        <v>4.7567203955564601</v>
      </c>
      <c r="M23" s="16">
        <v>4.4607076763596201</v>
      </c>
      <c r="N23" s="16">
        <v>4.1319231703013672</v>
      </c>
      <c r="O23" s="16">
        <v>4.7256469908921295</v>
      </c>
      <c r="P23" s="16">
        <v>4.5761188786778684</v>
      </c>
      <c r="Q23" s="16">
        <v>5.0228000259079879</v>
      </c>
      <c r="R23" s="16">
        <v>3.7766555313034789</v>
      </c>
      <c r="S23" s="16">
        <v>3.9899813652343128</v>
      </c>
      <c r="T23" s="16">
        <v>4.166483771548517</v>
      </c>
      <c r="U23" s="16">
        <v>3.2501185208790568</v>
      </c>
      <c r="V23" s="16">
        <v>3.7824503241375282</v>
      </c>
      <c r="W23" s="16">
        <v>3.999518970985056</v>
      </c>
      <c r="X23" s="16">
        <v>5.0414453042806642</v>
      </c>
    </row>
    <row r="24" spans="1:24" s="14" customFormat="1" x14ac:dyDescent="0.2">
      <c r="A24" s="4" t="s">
        <v>6</v>
      </c>
      <c r="B24" s="20" t="s">
        <v>49</v>
      </c>
      <c r="C24" s="20" t="s">
        <v>15</v>
      </c>
      <c r="D24" s="99">
        <v>47</v>
      </c>
      <c r="E24" s="11">
        <v>247</v>
      </c>
      <c r="F24" s="12">
        <v>926</v>
      </c>
      <c r="G24" s="13">
        <v>4.5</v>
      </c>
      <c r="H24" s="16">
        <v>4.1955059317606516</v>
      </c>
      <c r="I24" s="16">
        <v>4.9503201550280798</v>
      </c>
      <c r="J24" s="16">
        <v>4.4758822116436408</v>
      </c>
      <c r="K24" s="16">
        <v>3.7331769117321434</v>
      </c>
      <c r="L24" s="16">
        <v>4.4861364821405338</v>
      </c>
      <c r="M24" s="16">
        <v>4.1834850973945183</v>
      </c>
      <c r="N24" s="16">
        <v>4.009219918993467</v>
      </c>
      <c r="O24" s="16">
        <v>4.5886490105776279</v>
      </c>
      <c r="P24" s="16">
        <v>4.3902408395389809</v>
      </c>
      <c r="Q24" s="16">
        <v>4.9734395295382638</v>
      </c>
      <c r="R24" s="16">
        <v>4.2510403699679769</v>
      </c>
      <c r="S24" s="16">
        <v>3.5796818202050225</v>
      </c>
      <c r="T24" s="16">
        <v>4.3509732141183379</v>
      </c>
      <c r="U24" s="16">
        <v>3.6950692306989885</v>
      </c>
      <c r="V24" s="16">
        <v>3.6604190977698021</v>
      </c>
      <c r="W24" s="16">
        <v>3.9275913982073414</v>
      </c>
      <c r="X24" s="16">
        <v>4.9489529254211231</v>
      </c>
    </row>
    <row r="25" spans="1:24" s="14" customFormat="1" x14ac:dyDescent="0.2">
      <c r="A25" s="4" t="s">
        <v>6</v>
      </c>
      <c r="B25" s="20" t="s">
        <v>49</v>
      </c>
      <c r="C25" s="20" t="s">
        <v>15</v>
      </c>
      <c r="D25" s="99">
        <v>47</v>
      </c>
      <c r="E25" s="11">
        <v>347</v>
      </c>
      <c r="F25" s="12">
        <v>3704</v>
      </c>
      <c r="G25" s="13">
        <v>9</v>
      </c>
      <c r="H25" s="16">
        <v>4.8734128262070611</v>
      </c>
      <c r="I25" s="16">
        <v>4.9607182722386671</v>
      </c>
      <c r="J25" s="16">
        <v>4.4149080462683976</v>
      </c>
      <c r="K25" s="16">
        <v>3.7182743022652005</v>
      </c>
      <c r="L25" s="16">
        <v>3.988611996297069</v>
      </c>
      <c r="M25" s="16">
        <v>3.7748262258768825</v>
      </c>
      <c r="N25" s="16">
        <v>4.4768060395617457</v>
      </c>
      <c r="O25" s="16">
        <v>4.6371371712945129</v>
      </c>
      <c r="P25" s="16">
        <v>4.3057037060499832</v>
      </c>
      <c r="Q25" s="16">
        <v>4.2914301945726088</v>
      </c>
      <c r="R25" s="16">
        <v>3.7546354916031639</v>
      </c>
      <c r="S25" s="16">
        <v>3.9795806578116086</v>
      </c>
      <c r="T25" s="16">
        <v>4.8529457620428031</v>
      </c>
      <c r="U25" s="16">
        <v>4.0737085943272735</v>
      </c>
      <c r="V25" s="16">
        <v>3.2893161026964228</v>
      </c>
      <c r="W25" s="16">
        <v>4.1254979311242375</v>
      </c>
      <c r="X25" s="16">
        <v>5.1063925583920149</v>
      </c>
    </row>
    <row r="26" spans="1:24" s="14" customFormat="1" x14ac:dyDescent="0.2">
      <c r="A26" s="4" t="s">
        <v>6</v>
      </c>
      <c r="B26" s="14" t="s">
        <v>50</v>
      </c>
      <c r="C26" s="14" t="s">
        <v>51</v>
      </c>
      <c r="D26" s="99">
        <v>53</v>
      </c>
      <c r="E26" s="11">
        <v>153</v>
      </c>
      <c r="F26" s="12">
        <v>500</v>
      </c>
      <c r="G26" s="13">
        <v>5</v>
      </c>
      <c r="H26" s="16">
        <v>4.3814132661157235</v>
      </c>
      <c r="I26" s="16">
        <v>5.2525683101156568</v>
      </c>
      <c r="J26" s="16">
        <v>5.0477542596196283</v>
      </c>
      <c r="K26" s="16">
        <v>4.3337376656423734</v>
      </c>
      <c r="L26" s="16">
        <v>5.0200603277133116</v>
      </c>
      <c r="M26" s="16">
        <v>4.3892466185915149</v>
      </c>
      <c r="N26" s="16">
        <v>5.1198665735397402</v>
      </c>
      <c r="O26" s="16">
        <v>5.1047587627723399</v>
      </c>
      <c r="P26" s="16">
        <v>4.3828072423610491</v>
      </c>
      <c r="Q26" s="16">
        <v>4.2931073139793954</v>
      </c>
      <c r="R26" s="16">
        <v>3.3780921095622003</v>
      </c>
      <c r="S26" s="16">
        <v>4.9408650373634693</v>
      </c>
      <c r="T26" s="16">
        <v>3.7237793099298173</v>
      </c>
      <c r="U26" s="16">
        <v>4.1816531161453963</v>
      </c>
      <c r="V26" s="16">
        <v>3.1807948844885523</v>
      </c>
      <c r="W26" s="16">
        <v>3.726551807117608</v>
      </c>
      <c r="X26" s="16">
        <v>5.2280289804515414</v>
      </c>
    </row>
    <row r="27" spans="1:24" s="14" customFormat="1" x14ac:dyDescent="0.2">
      <c r="A27" s="4" t="s">
        <v>6</v>
      </c>
      <c r="B27" s="14" t="s">
        <v>50</v>
      </c>
      <c r="C27" s="14" t="s">
        <v>51</v>
      </c>
      <c r="D27" s="99">
        <v>53</v>
      </c>
      <c r="E27" s="11">
        <v>253</v>
      </c>
      <c r="F27" s="12">
        <v>926</v>
      </c>
      <c r="G27" s="13">
        <v>6</v>
      </c>
      <c r="H27" s="16">
        <v>4.2929855424180348</v>
      </c>
      <c r="I27" s="16">
        <v>5.2885233905302247</v>
      </c>
      <c r="J27" s="16">
        <v>5.090008747615653</v>
      </c>
      <c r="K27" s="16">
        <v>4.6001909174993747</v>
      </c>
      <c r="L27" s="16">
        <v>5.1954427192213615</v>
      </c>
      <c r="M27" s="16">
        <v>4.3258340282752812</v>
      </c>
      <c r="N27" s="16">
        <v>4.7293581931069726</v>
      </c>
      <c r="O27" s="16">
        <v>4.7400359027384322</v>
      </c>
      <c r="P27" s="16">
        <v>4.123664454265219</v>
      </c>
      <c r="Q27" s="16">
        <v>4.3415368066116518</v>
      </c>
      <c r="R27" s="16">
        <v>3.2033363621576663</v>
      </c>
      <c r="S27" s="16">
        <v>4.2506576072192326</v>
      </c>
      <c r="T27" s="16">
        <v>3.9293124405639546</v>
      </c>
      <c r="U27" s="16">
        <v>3.6775710799086347</v>
      </c>
      <c r="V27" s="16">
        <v>3.5459847086918881</v>
      </c>
      <c r="W27" s="16">
        <v>3.7212508634436565</v>
      </c>
      <c r="X27" s="16">
        <v>4.6823293985628993</v>
      </c>
    </row>
    <row r="28" spans="1:24" s="14" customFormat="1" x14ac:dyDescent="0.2">
      <c r="A28" s="4" t="s">
        <v>6</v>
      </c>
      <c r="B28" s="14" t="s">
        <v>50</v>
      </c>
      <c r="C28" s="14" t="s">
        <v>51</v>
      </c>
      <c r="D28" s="99">
        <v>53</v>
      </c>
      <c r="E28" s="11">
        <v>353</v>
      </c>
      <c r="F28" s="12">
        <v>3704</v>
      </c>
      <c r="G28" s="13">
        <v>12</v>
      </c>
      <c r="H28" s="16">
        <v>4.4998118918308085</v>
      </c>
      <c r="I28" s="16">
        <v>5.2505358261522757</v>
      </c>
      <c r="J28" s="16">
        <v>4.5103836373075286</v>
      </c>
      <c r="K28" s="16">
        <v>4.2024019398892571</v>
      </c>
      <c r="L28" s="16">
        <v>5.084478919418066</v>
      </c>
      <c r="M28" s="16">
        <v>4.0517910608195509</v>
      </c>
      <c r="N28" s="16">
        <v>3.3798247571531199</v>
      </c>
      <c r="O28" s="16">
        <v>4.8458208055631351</v>
      </c>
      <c r="P28" s="16">
        <v>4.8522925200757854</v>
      </c>
      <c r="Q28" s="16">
        <v>4.5534581594304928</v>
      </c>
      <c r="R28" s="16">
        <v>3.5210930336056823</v>
      </c>
      <c r="S28" s="16">
        <v>4.0643494898100796</v>
      </c>
      <c r="T28" s="16">
        <v>3.8719655865780744</v>
      </c>
      <c r="U28" s="16">
        <v>3.4679913142994145</v>
      </c>
      <c r="V28" s="16">
        <v>3.7269223255822865</v>
      </c>
      <c r="W28" s="16">
        <v>3.750196390450748</v>
      </c>
      <c r="X28" s="16">
        <v>5.0089420023690927</v>
      </c>
    </row>
    <row r="29" spans="1:24" s="14" customFormat="1" x14ac:dyDescent="0.2">
      <c r="A29" s="4" t="s">
        <v>6</v>
      </c>
      <c r="B29" s="14" t="s">
        <v>49</v>
      </c>
      <c r="C29" s="14" t="s">
        <v>52</v>
      </c>
      <c r="D29" s="99">
        <v>56</v>
      </c>
      <c r="E29" s="11">
        <v>156</v>
      </c>
      <c r="F29" s="12">
        <v>500</v>
      </c>
      <c r="G29" s="13">
        <v>2.5</v>
      </c>
      <c r="H29" s="16">
        <v>4.399314437475879</v>
      </c>
      <c r="I29" s="16">
        <v>4.9632766777435924</v>
      </c>
      <c r="J29" s="16">
        <v>5.7460861172017053</v>
      </c>
      <c r="K29" s="16">
        <v>4.7202950258759975</v>
      </c>
      <c r="L29" s="16">
        <v>4.6889381438905948</v>
      </c>
      <c r="M29" s="16">
        <v>3.5631797740213829</v>
      </c>
      <c r="N29" s="16">
        <v>4.4123379659469002</v>
      </c>
      <c r="O29" s="16">
        <v>5.2371155115385362</v>
      </c>
      <c r="P29" s="16">
        <v>4.4910928849528764</v>
      </c>
      <c r="Q29" s="16">
        <v>4.7041031750013342</v>
      </c>
      <c r="R29" s="16">
        <v>3.0076169389794987</v>
      </c>
      <c r="S29" s="16">
        <v>4.5376263564181123</v>
      </c>
      <c r="T29" s="16">
        <v>3.6217201814683038</v>
      </c>
      <c r="U29" s="16">
        <v>3.9694119690859138</v>
      </c>
      <c r="V29" s="16">
        <v>3.5380544264774225</v>
      </c>
      <c r="W29" s="16">
        <v>3.8045305361126758</v>
      </c>
      <c r="X29" s="16">
        <v>4.9036073535500524</v>
      </c>
    </row>
    <row r="30" spans="1:24" s="14" customFormat="1" x14ac:dyDescent="0.2">
      <c r="A30" s="4" t="s">
        <v>6</v>
      </c>
      <c r="B30" s="14" t="s">
        <v>49</v>
      </c>
      <c r="C30" s="14" t="s">
        <v>52</v>
      </c>
      <c r="D30" s="99">
        <v>56</v>
      </c>
      <c r="E30" s="11">
        <v>256</v>
      </c>
      <c r="F30" s="12">
        <v>926</v>
      </c>
      <c r="G30" s="13">
        <v>5</v>
      </c>
      <c r="H30" s="16">
        <v>4.3885017344263995</v>
      </c>
      <c r="I30" s="16">
        <v>5.0698779861087289</v>
      </c>
      <c r="J30" s="16">
        <v>5.4021025627721997</v>
      </c>
      <c r="K30" s="16">
        <v>4.5942639873412627</v>
      </c>
      <c r="L30" s="16">
        <v>4.9282460845343827</v>
      </c>
      <c r="M30" s="16">
        <v>4.2289399506329897</v>
      </c>
      <c r="N30" s="16">
        <v>5.1325140008889392</v>
      </c>
      <c r="O30" s="16">
        <v>5.218721742048932</v>
      </c>
      <c r="P30" s="16">
        <v>4.3415878634972849</v>
      </c>
      <c r="Q30" s="16">
        <v>4.6603464566779662</v>
      </c>
      <c r="R30" s="16">
        <v>3.402450972812618</v>
      </c>
      <c r="S30" s="16">
        <v>4.6149621062581669</v>
      </c>
      <c r="T30" s="16">
        <v>3.4348418256005915</v>
      </c>
      <c r="U30" s="16">
        <v>4.0031591055790079</v>
      </c>
      <c r="V30" s="16">
        <v>3.5568932336357091</v>
      </c>
      <c r="W30" s="16">
        <v>3.9049312066064878</v>
      </c>
      <c r="X30" s="16">
        <v>4.5223239708538534</v>
      </c>
    </row>
    <row r="31" spans="1:24" s="14" customFormat="1" x14ac:dyDescent="0.2">
      <c r="A31" s="4" t="s">
        <v>6</v>
      </c>
      <c r="B31" s="14" t="s">
        <v>49</v>
      </c>
      <c r="C31" s="14" t="s">
        <v>52</v>
      </c>
      <c r="D31" s="99">
        <v>56</v>
      </c>
      <c r="E31" s="11">
        <v>356</v>
      </c>
      <c r="F31" s="12">
        <v>3704</v>
      </c>
      <c r="G31" s="13">
        <v>16</v>
      </c>
      <c r="H31" s="16">
        <v>4.7249518635701078</v>
      </c>
      <c r="I31" s="16">
        <v>4.8861232402832373</v>
      </c>
      <c r="J31" s="16">
        <v>5.4077734479598192</v>
      </c>
      <c r="K31" s="16">
        <v>5.337284972368245</v>
      </c>
      <c r="L31" s="16">
        <v>5.4434143374152191</v>
      </c>
      <c r="M31" s="16">
        <v>4.5961332951401825</v>
      </c>
      <c r="N31" s="16">
        <v>4.6237769267693771</v>
      </c>
      <c r="O31" s="16">
        <v>4.9612689659517475</v>
      </c>
      <c r="P31" s="16">
        <v>5.3063090832800484</v>
      </c>
      <c r="Q31" s="16">
        <v>4.6156528553577338</v>
      </c>
      <c r="R31" s="16">
        <v>3.6872545847571554</v>
      </c>
      <c r="S31" s="16">
        <v>4.3059307958475159</v>
      </c>
      <c r="T31" s="16">
        <v>3.6576159317691803</v>
      </c>
      <c r="U31" s="16">
        <v>4.0480643000057528</v>
      </c>
      <c r="V31" s="16">
        <v>3.00391785058765</v>
      </c>
      <c r="W31" s="16">
        <v>3.6692827949832805</v>
      </c>
      <c r="X31" s="16">
        <v>5.1917008687054658</v>
      </c>
    </row>
    <row r="32" spans="1:24" s="14" customFormat="1" x14ac:dyDescent="0.2">
      <c r="A32" s="4" t="s">
        <v>6</v>
      </c>
      <c r="B32" s="14" t="s">
        <v>16</v>
      </c>
      <c r="C32" s="14" t="s">
        <v>17</v>
      </c>
      <c r="D32" s="99">
        <v>59</v>
      </c>
      <c r="E32" s="11">
        <v>159</v>
      </c>
      <c r="F32" s="12">
        <v>500</v>
      </c>
      <c r="G32" s="13">
        <v>2.5</v>
      </c>
      <c r="H32" s="16">
        <v>5.1402951070668212</v>
      </c>
      <c r="I32" s="16">
        <v>5.1627496040911396</v>
      </c>
      <c r="J32" s="16">
        <v>4.38978013725289</v>
      </c>
      <c r="K32" s="16">
        <v>5.3859498012958804</v>
      </c>
      <c r="L32" s="16">
        <v>4.8405386495440883</v>
      </c>
      <c r="M32" s="16">
        <v>3.7914604833471786</v>
      </c>
      <c r="N32" s="16">
        <v>5.8710736244972708</v>
      </c>
      <c r="O32" s="16">
        <v>5.3918387237598591</v>
      </c>
      <c r="P32" s="16">
        <v>4.7732013179755555</v>
      </c>
      <c r="Q32" s="16">
        <v>5.7841541656166306</v>
      </c>
      <c r="R32" s="16">
        <v>4.336009427102149</v>
      </c>
      <c r="S32" s="16">
        <v>5.2658887950445967</v>
      </c>
      <c r="T32" s="16">
        <v>5.0469586817690537</v>
      </c>
      <c r="U32" s="16">
        <v>4.7813597744233896</v>
      </c>
      <c r="V32" s="16">
        <v>5.7398933199388003</v>
      </c>
      <c r="W32" s="16">
        <v>4.3281482191252518</v>
      </c>
      <c r="X32" s="16">
        <v>5.1845257140935121</v>
      </c>
    </row>
    <row r="33" spans="1:24" s="14" customFormat="1" x14ac:dyDescent="0.2">
      <c r="A33" s="4" t="s">
        <v>6</v>
      </c>
      <c r="B33" s="14" t="s">
        <v>16</v>
      </c>
      <c r="C33" s="14" t="s">
        <v>17</v>
      </c>
      <c r="D33" s="99">
        <v>59</v>
      </c>
      <c r="E33" s="11">
        <v>259</v>
      </c>
      <c r="F33" s="12">
        <v>926</v>
      </c>
      <c r="G33" s="13">
        <v>5</v>
      </c>
      <c r="H33" s="16">
        <v>4.8767254233619868</v>
      </c>
      <c r="I33" s="16">
        <v>5.2741625432662733</v>
      </c>
      <c r="J33" s="16">
        <v>5.6240035487691955</v>
      </c>
      <c r="K33" s="16">
        <v>5.347300623965495</v>
      </c>
      <c r="L33" s="16">
        <v>5.2572660149814929</v>
      </c>
      <c r="M33" s="16">
        <v>4.0242055138702097</v>
      </c>
      <c r="N33" s="16">
        <v>5.1824758649578975</v>
      </c>
      <c r="O33" s="16">
        <v>5.184660674553327</v>
      </c>
      <c r="P33" s="16">
        <v>4.4496935519411887</v>
      </c>
      <c r="Q33" s="16">
        <v>5.3757012787236533</v>
      </c>
      <c r="R33" s="16">
        <v>4.0462763176481538</v>
      </c>
      <c r="S33" s="16">
        <v>5.1855020457438075</v>
      </c>
      <c r="T33" s="16">
        <v>5.2681832810015274</v>
      </c>
      <c r="U33" s="16">
        <v>4.1961639877312535</v>
      </c>
      <c r="V33" s="16">
        <v>6.2132210430810835</v>
      </c>
      <c r="W33" s="16">
        <v>3.9637015885364768</v>
      </c>
      <c r="X33" s="16">
        <v>5.5355854954644244</v>
      </c>
    </row>
    <row r="34" spans="1:24" s="14" customFormat="1" x14ac:dyDescent="0.2">
      <c r="A34" s="4" t="s">
        <v>6</v>
      </c>
      <c r="B34" s="14" t="s">
        <v>16</v>
      </c>
      <c r="C34" s="14" t="s">
        <v>17</v>
      </c>
      <c r="D34" s="99">
        <v>59</v>
      </c>
      <c r="E34" s="11">
        <v>359</v>
      </c>
      <c r="F34" s="12">
        <v>3704</v>
      </c>
      <c r="G34" s="13">
        <v>16</v>
      </c>
      <c r="H34" s="16">
        <v>4.9553202890656669</v>
      </c>
      <c r="I34" s="16">
        <v>5.2028173028451761</v>
      </c>
      <c r="J34" s="16">
        <v>4.8323214046772387</v>
      </c>
      <c r="K34" s="16">
        <v>5.1342424653401126</v>
      </c>
      <c r="L34" s="16">
        <v>5.1623216056996055</v>
      </c>
      <c r="M34" s="16">
        <v>4.7545189207042995</v>
      </c>
      <c r="N34" s="16">
        <v>5.2165742082408979</v>
      </c>
      <c r="O34" s="16">
        <v>5.0213602583853314</v>
      </c>
      <c r="P34" s="16">
        <v>5.6670966550741957</v>
      </c>
      <c r="Q34" s="16">
        <v>4.6408312578339412</v>
      </c>
      <c r="R34" s="16">
        <v>3.5750465551315256</v>
      </c>
      <c r="S34" s="16">
        <v>4.7649457008776359</v>
      </c>
      <c r="T34" s="16">
        <v>3.372067757144197</v>
      </c>
      <c r="U34" s="16">
        <v>4.162512591840021</v>
      </c>
      <c r="V34" s="16">
        <v>4.5361142741671614</v>
      </c>
      <c r="W34" s="16">
        <v>4.0011173436902938</v>
      </c>
      <c r="X34" s="16">
        <v>5.6662135004135221</v>
      </c>
    </row>
    <row r="35" spans="1:24" s="14" customFormat="1" x14ac:dyDescent="0.2">
      <c r="A35" s="4" t="s">
        <v>6</v>
      </c>
      <c r="B35" s="14" t="s">
        <v>16</v>
      </c>
      <c r="C35" s="14" t="s">
        <v>18</v>
      </c>
      <c r="D35" s="99">
        <v>62</v>
      </c>
      <c r="E35" s="11">
        <v>162</v>
      </c>
      <c r="F35" s="12">
        <v>500</v>
      </c>
      <c r="G35" s="13">
        <v>2.5</v>
      </c>
      <c r="H35" s="16">
        <v>5.9973639728720416</v>
      </c>
      <c r="I35" s="16">
        <v>6.3283273220612424</v>
      </c>
      <c r="J35" s="16">
        <v>5.783630862817942</v>
      </c>
      <c r="K35" s="16">
        <v>5.0609459157996834</v>
      </c>
      <c r="L35" s="16">
        <v>4.446557113105345</v>
      </c>
      <c r="M35" s="16">
        <v>4.1109887956546745</v>
      </c>
      <c r="N35" s="16">
        <v>4.844943302841731</v>
      </c>
      <c r="O35" s="16">
        <v>6.8923235748249985</v>
      </c>
      <c r="P35" s="16">
        <v>4.2061466544077115</v>
      </c>
      <c r="Q35" s="16">
        <v>7.2337611137152491</v>
      </c>
      <c r="R35" s="16">
        <v>4.5825001039467814</v>
      </c>
      <c r="S35" s="16">
        <v>6.5315969927328812</v>
      </c>
      <c r="T35" s="16">
        <v>4.6097184064679002</v>
      </c>
      <c r="U35" s="16">
        <v>4.8087994561944463</v>
      </c>
      <c r="V35" s="16">
        <v>5.4261871502832006</v>
      </c>
      <c r="W35" s="16">
        <v>4.6950268010240563</v>
      </c>
      <c r="X35" s="16">
        <v>5.3232295805235443</v>
      </c>
    </row>
    <row r="36" spans="1:24" s="14" customFormat="1" x14ac:dyDescent="0.2">
      <c r="A36" s="4" t="s">
        <v>6</v>
      </c>
      <c r="B36" s="14" t="s">
        <v>16</v>
      </c>
      <c r="C36" s="14" t="s">
        <v>18</v>
      </c>
      <c r="D36" s="99">
        <v>62</v>
      </c>
      <c r="E36" s="11">
        <v>262</v>
      </c>
      <c r="F36" s="12">
        <v>926</v>
      </c>
      <c r="G36" s="13">
        <v>5</v>
      </c>
      <c r="H36" s="16">
        <v>5.5772504993593381</v>
      </c>
      <c r="I36" s="16">
        <v>5.47186981204998</v>
      </c>
      <c r="J36" s="16">
        <v>5.0279691043984416</v>
      </c>
      <c r="K36" s="16">
        <v>6.3316927856207741</v>
      </c>
      <c r="L36" s="16">
        <v>5.8689145695106655</v>
      </c>
      <c r="M36" s="16">
        <v>3.5124306891961243</v>
      </c>
      <c r="N36" s="16">
        <v>5.4895845098432856</v>
      </c>
      <c r="O36" s="16">
        <v>6.3616901600816647</v>
      </c>
      <c r="P36" s="16">
        <v>5.5101537651110517</v>
      </c>
      <c r="Q36" s="16">
        <v>7.0825973244679181</v>
      </c>
      <c r="R36" s="16">
        <v>5.7839861857417807</v>
      </c>
      <c r="S36" s="16">
        <v>6.5140368338620815</v>
      </c>
      <c r="T36" s="16">
        <v>5.0104438739002823</v>
      </c>
      <c r="U36" s="16">
        <v>5.6145290023124241</v>
      </c>
      <c r="V36" s="16">
        <v>6.6370056313571473</v>
      </c>
      <c r="W36" s="16">
        <v>5.0183885598154134</v>
      </c>
      <c r="X36" s="16">
        <v>5.8206410083115419</v>
      </c>
    </row>
    <row r="37" spans="1:24" s="14" customFormat="1" x14ac:dyDescent="0.2">
      <c r="A37" s="4" t="s">
        <v>6</v>
      </c>
      <c r="B37" s="14" t="s">
        <v>16</v>
      </c>
      <c r="C37" s="14" t="s">
        <v>18</v>
      </c>
      <c r="D37" s="99">
        <v>62</v>
      </c>
      <c r="E37" s="11">
        <v>362</v>
      </c>
      <c r="F37" s="12">
        <v>3704</v>
      </c>
      <c r="G37" s="13">
        <v>17</v>
      </c>
      <c r="H37" s="16">
        <v>5.4780545570785888</v>
      </c>
      <c r="I37" s="16">
        <v>5.8685556104411081</v>
      </c>
      <c r="J37" s="16">
        <v>6.5273456900157063</v>
      </c>
      <c r="K37" s="16">
        <v>5.7099763033827058</v>
      </c>
      <c r="L37" s="16">
        <v>5.4903063015221472</v>
      </c>
      <c r="M37" s="16">
        <v>4.3086605546806878</v>
      </c>
      <c r="N37" s="16">
        <v>4.2998674313579439</v>
      </c>
      <c r="O37" s="16">
        <v>5.1619126922072729</v>
      </c>
      <c r="P37" s="16">
        <v>5.6872462789697273</v>
      </c>
      <c r="Q37" s="16">
        <v>4.9109919835931803</v>
      </c>
      <c r="R37" s="16">
        <v>4.3712641133227761</v>
      </c>
      <c r="S37" s="16">
        <v>5.5930715243467368</v>
      </c>
      <c r="T37" s="16">
        <v>6.0068904188606895</v>
      </c>
      <c r="U37" s="16">
        <v>4.1819379631104914</v>
      </c>
      <c r="V37" s="16">
        <v>6.7964398897747502</v>
      </c>
      <c r="W37" s="16">
        <v>3.8718093312990907</v>
      </c>
      <c r="X37" s="16">
        <v>6.0495402921977064</v>
      </c>
    </row>
    <row r="38" spans="1:24" s="14" customFormat="1" x14ac:dyDescent="0.2">
      <c r="A38" s="4" t="s">
        <v>6</v>
      </c>
      <c r="B38" s="14" t="s">
        <v>16</v>
      </c>
      <c r="C38" s="14" t="s">
        <v>53</v>
      </c>
      <c r="D38" s="99">
        <v>64</v>
      </c>
      <c r="E38" s="11">
        <v>164</v>
      </c>
      <c r="F38" s="12">
        <v>500</v>
      </c>
      <c r="G38" s="13">
        <v>2.5</v>
      </c>
      <c r="H38" s="16">
        <v>4.9903867088081499</v>
      </c>
      <c r="I38" s="16">
        <v>5.153733239000533</v>
      </c>
      <c r="J38" s="17"/>
      <c r="K38" s="16">
        <v>5.7528252357206124</v>
      </c>
      <c r="L38" s="16">
        <v>5.8788880390826961</v>
      </c>
      <c r="M38" s="16">
        <v>4.1228585754583369</v>
      </c>
      <c r="N38" s="16">
        <v>5.3477996991870356</v>
      </c>
      <c r="O38" s="16">
        <v>7.2870968005682863</v>
      </c>
      <c r="P38" s="16">
        <v>4.9502807188279725</v>
      </c>
      <c r="Q38" s="16">
        <v>5.7530674654029834</v>
      </c>
      <c r="R38" s="16">
        <v>5.3456646220821016</v>
      </c>
      <c r="S38" s="16">
        <v>6.137323740145062</v>
      </c>
      <c r="T38" s="16">
        <v>4.5542718098189319</v>
      </c>
      <c r="U38" s="16">
        <v>5.9423537109314264</v>
      </c>
      <c r="V38" s="16">
        <v>6.1563049001953907</v>
      </c>
      <c r="W38" s="16">
        <v>4.8998225648947216</v>
      </c>
      <c r="X38" s="16">
        <v>5.3935868792370067</v>
      </c>
    </row>
    <row r="39" spans="1:24" s="14" customFormat="1" x14ac:dyDescent="0.2">
      <c r="A39" s="4" t="s">
        <v>6</v>
      </c>
      <c r="B39" s="14" t="s">
        <v>16</v>
      </c>
      <c r="C39" s="14" t="s">
        <v>53</v>
      </c>
      <c r="D39" s="99">
        <v>64</v>
      </c>
      <c r="E39" s="11">
        <v>264</v>
      </c>
      <c r="F39" s="12">
        <v>926</v>
      </c>
      <c r="G39" s="13">
        <v>9.5</v>
      </c>
      <c r="H39" s="16">
        <v>5.3864482421680817</v>
      </c>
      <c r="I39" s="16">
        <v>5.9941197735304179</v>
      </c>
      <c r="J39" s="16">
        <v>6.3368883068191195</v>
      </c>
      <c r="K39" s="16">
        <v>5.8593308696969038</v>
      </c>
      <c r="L39" s="16">
        <v>5.9357266510116675</v>
      </c>
      <c r="M39" s="16">
        <v>3.8517641976446635</v>
      </c>
      <c r="N39" s="16">
        <v>4.5543239835574596</v>
      </c>
      <c r="O39" s="16">
        <v>7.0917625139990736</v>
      </c>
      <c r="P39" s="16">
        <v>5.5247189759016964</v>
      </c>
      <c r="Q39" s="16">
        <v>5.7369383623196226</v>
      </c>
      <c r="R39" s="16">
        <v>5.4080555567545314</v>
      </c>
      <c r="S39" s="16">
        <v>6.3022294762873008</v>
      </c>
      <c r="T39" s="16">
        <v>4.7733668035232784</v>
      </c>
      <c r="U39" s="16">
        <v>4.6832788795990501</v>
      </c>
      <c r="V39" s="16">
        <v>6.1318433510919332</v>
      </c>
      <c r="W39" s="16">
        <v>4.9502992264330938</v>
      </c>
      <c r="X39" s="16">
        <v>5.3945987673636289</v>
      </c>
    </row>
    <row r="40" spans="1:24" s="14" customFormat="1" x14ac:dyDescent="0.2">
      <c r="A40" s="4" t="s">
        <v>6</v>
      </c>
      <c r="B40" s="14" t="s">
        <v>16</v>
      </c>
      <c r="C40" s="14" t="s">
        <v>53</v>
      </c>
      <c r="D40" s="99">
        <v>64</v>
      </c>
      <c r="E40" s="11">
        <v>364</v>
      </c>
      <c r="F40" s="12">
        <v>3704</v>
      </c>
      <c r="G40" s="13">
        <v>19</v>
      </c>
      <c r="H40" s="16">
        <v>5.5611457971759126</v>
      </c>
      <c r="I40" s="16">
        <v>5.6778810160977748</v>
      </c>
      <c r="J40" s="16">
        <v>6.1891151665613053</v>
      </c>
      <c r="K40" s="16">
        <v>5.9108735174671567</v>
      </c>
      <c r="L40" s="16">
        <v>5.3217672418738005</v>
      </c>
      <c r="M40" s="16">
        <v>4.5670043200067258</v>
      </c>
      <c r="N40" s="16">
        <v>4.3695078816494828</v>
      </c>
      <c r="O40" s="16">
        <v>6.6165856108740098</v>
      </c>
      <c r="P40" s="16">
        <v>5.3479342851986882</v>
      </c>
      <c r="Q40" s="16">
        <v>5.061700722046405</v>
      </c>
      <c r="R40" s="16">
        <v>4.094263654109553</v>
      </c>
      <c r="S40" s="16">
        <v>5.0953661225793248</v>
      </c>
      <c r="T40" s="16">
        <v>5.5422017721449093</v>
      </c>
      <c r="U40" s="16">
        <v>3.8831349160407433</v>
      </c>
      <c r="V40" s="16">
        <v>6.745267972553763</v>
      </c>
      <c r="W40" s="16">
        <v>5.265900670175264</v>
      </c>
      <c r="X40" s="16">
        <v>5.7492054131228727</v>
      </c>
    </row>
    <row r="41" spans="1:24" s="14" customFormat="1" x14ac:dyDescent="0.2">
      <c r="A41" s="4" t="s">
        <v>19</v>
      </c>
      <c r="B41" s="14" t="s">
        <v>20</v>
      </c>
      <c r="C41" s="14" t="s">
        <v>21</v>
      </c>
      <c r="D41" s="99">
        <v>68</v>
      </c>
      <c r="E41" s="11">
        <v>168</v>
      </c>
      <c r="F41" s="12">
        <v>500</v>
      </c>
      <c r="G41" s="13">
        <v>2.5</v>
      </c>
      <c r="H41" s="16">
        <v>5.0696635712445426</v>
      </c>
      <c r="I41" s="16">
        <v>4.9751214949406304</v>
      </c>
      <c r="J41" s="16">
        <v>4.5942354279533824</v>
      </c>
      <c r="K41" s="16">
        <v>4.0513425584059295</v>
      </c>
      <c r="L41" s="16">
        <v>4.0247486814597133</v>
      </c>
      <c r="M41" s="16">
        <v>4.5628743247745147</v>
      </c>
      <c r="N41" s="16">
        <v>5.4148577860679366</v>
      </c>
      <c r="O41" s="16">
        <v>6.8531865964508576</v>
      </c>
      <c r="P41" s="16">
        <v>4.9869368047210116</v>
      </c>
      <c r="Q41" s="16">
        <v>5.9392018950312702</v>
      </c>
      <c r="R41" s="16">
        <v>5.5315064923552431</v>
      </c>
      <c r="S41" s="16">
        <v>6.1643445036960571</v>
      </c>
      <c r="T41" s="16">
        <v>5.9069242431166957</v>
      </c>
      <c r="U41" s="16">
        <v>5.0012197409674162</v>
      </c>
      <c r="V41" s="16">
        <v>5.9831574540021251</v>
      </c>
      <c r="W41" s="16">
        <v>4.3592359805540655</v>
      </c>
      <c r="X41" s="16">
        <v>5.4894583929312759</v>
      </c>
    </row>
    <row r="42" spans="1:24" s="14" customFormat="1" x14ac:dyDescent="0.2">
      <c r="A42" s="4" t="s">
        <v>19</v>
      </c>
      <c r="B42" s="14" t="s">
        <v>20</v>
      </c>
      <c r="C42" s="14" t="s">
        <v>21</v>
      </c>
      <c r="D42" s="99">
        <v>68</v>
      </c>
      <c r="E42" s="11">
        <v>268</v>
      </c>
      <c r="F42" s="12">
        <v>926</v>
      </c>
      <c r="G42" s="13">
        <v>8.5</v>
      </c>
      <c r="H42" s="16">
        <v>5.0494640105148836</v>
      </c>
      <c r="I42" s="16">
        <v>5.2109417798775359</v>
      </c>
      <c r="J42" s="16">
        <v>4.5572383349599246</v>
      </c>
      <c r="K42" s="16">
        <v>4.9476169718956751</v>
      </c>
      <c r="L42" s="16">
        <v>5.0210473285710195</v>
      </c>
      <c r="M42" s="16">
        <v>3.779830552538423</v>
      </c>
      <c r="N42" s="16">
        <v>4.7212611126955535</v>
      </c>
      <c r="O42" s="16">
        <v>7.0329455361635729</v>
      </c>
      <c r="P42" s="16">
        <v>4.7631647760581277</v>
      </c>
      <c r="Q42" s="16">
        <v>5.7853159321990661</v>
      </c>
      <c r="R42" s="16">
        <v>5.6412621610374636</v>
      </c>
      <c r="S42" s="16">
        <v>6.5316500350861073</v>
      </c>
      <c r="T42" s="16">
        <v>5.445101284887059</v>
      </c>
      <c r="U42" s="16">
        <v>5.1811857115234341</v>
      </c>
      <c r="V42" s="16">
        <v>5.8496912263262493</v>
      </c>
      <c r="W42" s="16">
        <v>4.3438559441402447</v>
      </c>
      <c r="X42" s="16">
        <v>5.2278052934491583</v>
      </c>
    </row>
    <row r="43" spans="1:24" s="14" customFormat="1" x14ac:dyDescent="0.2">
      <c r="A43" s="4" t="s">
        <v>19</v>
      </c>
      <c r="B43" s="14" t="s">
        <v>20</v>
      </c>
      <c r="C43" s="14" t="s">
        <v>21</v>
      </c>
      <c r="D43" s="99">
        <v>68</v>
      </c>
      <c r="E43" s="11">
        <v>368</v>
      </c>
      <c r="F43" s="12">
        <v>3704</v>
      </c>
      <c r="G43" s="13">
        <v>16.5</v>
      </c>
      <c r="H43" s="16">
        <v>5.0395462064954959</v>
      </c>
      <c r="I43" s="16">
        <v>5.768677453062093</v>
      </c>
      <c r="J43" s="16">
        <v>4.4066641952954981</v>
      </c>
      <c r="K43" s="16">
        <v>5.0659925443281688</v>
      </c>
      <c r="L43" s="16">
        <v>5.1797932264347351</v>
      </c>
      <c r="M43" s="16">
        <v>3.9985589834946054</v>
      </c>
      <c r="N43" s="16">
        <v>3.663088277599968</v>
      </c>
      <c r="O43" s="16">
        <v>6.2319653040999459</v>
      </c>
      <c r="P43" s="16">
        <v>4.8506828442395813</v>
      </c>
      <c r="Q43" s="16">
        <v>5.9419385375024989</v>
      </c>
      <c r="R43" s="16">
        <v>6.0010427271533153</v>
      </c>
      <c r="S43" s="16">
        <v>5.440744162289362</v>
      </c>
      <c r="T43" s="16">
        <v>5.6656892160257346</v>
      </c>
      <c r="U43" s="16">
        <v>3.8726183067623676</v>
      </c>
      <c r="V43" s="16">
        <v>6.2691624753803366</v>
      </c>
      <c r="W43" s="16">
        <v>5.0847155072857744</v>
      </c>
      <c r="X43" s="16">
        <v>5.6033225467591778</v>
      </c>
    </row>
    <row r="44" spans="1:24" s="14" customFormat="1" x14ac:dyDescent="0.2">
      <c r="A44" s="4" t="s">
        <v>19</v>
      </c>
      <c r="B44" s="14" t="s">
        <v>20</v>
      </c>
      <c r="C44" s="14" t="s">
        <v>54</v>
      </c>
      <c r="D44" s="99">
        <v>72</v>
      </c>
      <c r="E44" s="11">
        <v>172</v>
      </c>
      <c r="F44" s="12">
        <v>500</v>
      </c>
      <c r="G44" s="13">
        <v>2</v>
      </c>
      <c r="H44" s="16">
        <v>5.0830173397251226</v>
      </c>
      <c r="I44" s="16">
        <v>5.5423013732062456</v>
      </c>
      <c r="J44" s="16">
        <v>4.3123492654070761</v>
      </c>
      <c r="K44" s="16">
        <v>4.0579900219707516</v>
      </c>
      <c r="L44" s="16">
        <v>4.7367760773330971</v>
      </c>
      <c r="M44" s="16">
        <v>3.9511597070351767</v>
      </c>
      <c r="N44" s="16">
        <v>5.5372425877200184</v>
      </c>
      <c r="O44" s="16">
        <v>6.7338379865031186</v>
      </c>
      <c r="P44" s="16">
        <v>4.5853481206983586</v>
      </c>
      <c r="Q44" s="16">
        <v>6.5231291227044004</v>
      </c>
      <c r="R44" s="16">
        <v>5.5615104214718158</v>
      </c>
      <c r="S44" s="16">
        <v>6.0184300506196378</v>
      </c>
      <c r="T44" s="16">
        <v>5.5696274735373299</v>
      </c>
      <c r="U44" s="16">
        <v>5.102822575022306</v>
      </c>
      <c r="V44" s="16">
        <v>5.9898380061467273</v>
      </c>
      <c r="W44" s="16">
        <v>4.5300469085228574</v>
      </c>
      <c r="X44" s="16">
        <v>5.7666537792712607</v>
      </c>
    </row>
    <row r="45" spans="1:24" s="14" customFormat="1" x14ac:dyDescent="0.2">
      <c r="A45" s="4" t="s">
        <v>19</v>
      </c>
      <c r="B45" s="14" t="s">
        <v>20</v>
      </c>
      <c r="C45" s="14" t="s">
        <v>54</v>
      </c>
      <c r="D45" s="99">
        <v>72</v>
      </c>
      <c r="E45" s="11">
        <v>272</v>
      </c>
      <c r="F45" s="12">
        <v>926</v>
      </c>
      <c r="G45" s="13">
        <v>3.5</v>
      </c>
      <c r="H45" s="16">
        <v>5.1289503367806795</v>
      </c>
      <c r="I45" s="16">
        <v>5.1075267631642385</v>
      </c>
      <c r="J45" s="16">
        <v>5.049513002537048</v>
      </c>
      <c r="K45" s="16">
        <v>4.9627573975041246</v>
      </c>
      <c r="L45" s="16">
        <v>4.8512437071658612</v>
      </c>
      <c r="M45" s="16">
        <v>2.9599073852558324</v>
      </c>
      <c r="N45" s="16">
        <v>5.3387852183574864</v>
      </c>
      <c r="O45" s="16">
        <v>6.7833195437124516</v>
      </c>
      <c r="P45" s="16">
        <v>4.6413383896655249</v>
      </c>
      <c r="Q45" s="16">
        <v>6.484679347809843</v>
      </c>
      <c r="R45" s="16">
        <v>5.6499054584525155</v>
      </c>
      <c r="S45" s="16">
        <v>5.9710651893558833</v>
      </c>
      <c r="T45" s="16">
        <v>5.9212242840449241</v>
      </c>
      <c r="U45" s="16">
        <v>5.0444488258406306</v>
      </c>
      <c r="V45" s="16">
        <v>5.9563981438152194</v>
      </c>
      <c r="W45" s="16">
        <v>4.4719815316246549</v>
      </c>
      <c r="X45" s="16">
        <v>5.6180774790549028</v>
      </c>
    </row>
    <row r="46" spans="1:24" x14ac:dyDescent="0.2">
      <c r="A46" s="4" t="s">
        <v>19</v>
      </c>
      <c r="B46" s="14" t="s">
        <v>20</v>
      </c>
      <c r="C46" s="14" t="s">
        <v>54</v>
      </c>
      <c r="D46" s="99">
        <v>72</v>
      </c>
      <c r="E46" s="11">
        <v>372</v>
      </c>
      <c r="F46" s="12">
        <v>3704</v>
      </c>
      <c r="G46" s="13">
        <v>13.5</v>
      </c>
      <c r="H46" s="16">
        <v>5.4155591919972519</v>
      </c>
      <c r="I46" s="16">
        <v>6.1389662986908151</v>
      </c>
      <c r="J46" s="16">
        <v>6.3160232851827232</v>
      </c>
      <c r="K46" s="16">
        <v>5.2630497465321859</v>
      </c>
      <c r="L46" s="16">
        <v>4.909038856553817</v>
      </c>
      <c r="M46" s="16">
        <v>3.1182910356277889</v>
      </c>
      <c r="N46" s="16">
        <v>4.4021595433515186</v>
      </c>
      <c r="O46" s="16">
        <v>6.0052094597765819</v>
      </c>
      <c r="P46" s="16">
        <v>5.3489042841387064</v>
      </c>
      <c r="Q46" s="16">
        <v>5.5905295804500623</v>
      </c>
      <c r="R46" s="16">
        <v>5.2694253409862997</v>
      </c>
      <c r="S46" s="16">
        <v>5.4604097834014613</v>
      </c>
      <c r="T46" s="16">
        <v>5.4714576155521693</v>
      </c>
      <c r="U46" s="16">
        <v>4.4897610377437527</v>
      </c>
      <c r="V46" s="16">
        <v>5.8747102658557537</v>
      </c>
      <c r="W46" s="16">
        <v>4.6550045698482378</v>
      </c>
      <c r="X46" s="16">
        <v>5.5083570064534646</v>
      </c>
    </row>
    <row r="47" spans="1:24" x14ac:dyDescent="0.2">
      <c r="A47" s="4" t="s">
        <v>19</v>
      </c>
      <c r="B47" s="15" t="s">
        <v>22</v>
      </c>
      <c r="C47" s="15" t="s">
        <v>23</v>
      </c>
      <c r="D47" s="99">
        <v>77</v>
      </c>
      <c r="E47" s="11">
        <v>177</v>
      </c>
      <c r="F47" s="12">
        <v>500</v>
      </c>
      <c r="G47" s="13">
        <v>2</v>
      </c>
      <c r="H47" s="16">
        <v>5.4502008361613434</v>
      </c>
      <c r="I47" s="16">
        <v>6.4176545683490351</v>
      </c>
      <c r="J47" s="16">
        <v>5.5627129718721573</v>
      </c>
      <c r="K47" s="16">
        <v>5.737975731492635</v>
      </c>
      <c r="L47" s="16">
        <v>4.7042475444714507</v>
      </c>
      <c r="M47" s="16">
        <v>4.1095670312793953</v>
      </c>
      <c r="N47" s="16">
        <v>5.8418976019673199</v>
      </c>
      <c r="O47" s="16">
        <v>6.0812180902430599</v>
      </c>
      <c r="P47" s="16">
        <v>5.0446795902404551</v>
      </c>
      <c r="Q47" s="16">
        <v>5.9193786760898517</v>
      </c>
      <c r="R47" s="16">
        <v>6.0503056553673025</v>
      </c>
      <c r="S47" s="16">
        <v>5.9656255293389195</v>
      </c>
      <c r="T47" s="16">
        <v>6.0559177363352426</v>
      </c>
      <c r="U47" s="16">
        <v>5.046020665187867</v>
      </c>
      <c r="V47" s="16">
        <v>6.3752759601064346</v>
      </c>
      <c r="W47" s="16">
        <v>5.2792284537196501</v>
      </c>
      <c r="X47" s="16">
        <v>5.6991293202808615</v>
      </c>
    </row>
    <row r="48" spans="1:24" x14ac:dyDescent="0.2">
      <c r="A48" s="4" t="s">
        <v>19</v>
      </c>
      <c r="B48" s="15" t="s">
        <v>22</v>
      </c>
      <c r="C48" s="15" t="s">
        <v>23</v>
      </c>
      <c r="D48" s="99">
        <v>77</v>
      </c>
      <c r="E48" s="11">
        <v>277</v>
      </c>
      <c r="F48" s="12">
        <v>926</v>
      </c>
      <c r="G48" s="13">
        <v>4</v>
      </c>
      <c r="H48" s="16">
        <v>5.5452790088127575</v>
      </c>
      <c r="I48" s="16">
        <v>6.2206546805700942</v>
      </c>
      <c r="J48" s="16">
        <v>6.2121378021412115</v>
      </c>
      <c r="K48" s="16">
        <v>5.5201119471984335</v>
      </c>
      <c r="L48" s="16">
        <v>5.1963106855903609</v>
      </c>
      <c r="M48" s="16">
        <v>3.3079514773124616</v>
      </c>
      <c r="N48" s="16">
        <v>5.0255722200788817</v>
      </c>
      <c r="O48" s="16">
        <v>6.405694464640356</v>
      </c>
      <c r="P48" s="16">
        <v>6.6902032941347285</v>
      </c>
      <c r="Q48" s="16">
        <v>6.0936851984295686</v>
      </c>
      <c r="R48" s="16">
        <v>5.7475646546277979</v>
      </c>
      <c r="S48" s="16">
        <v>5.9085976982792348</v>
      </c>
      <c r="T48" s="16">
        <v>5.5305837792069346</v>
      </c>
      <c r="U48" s="16">
        <v>4.7510911184559683</v>
      </c>
      <c r="V48" s="16">
        <v>6.9392050019711222</v>
      </c>
      <c r="W48" s="16">
        <v>4.8797143723510192</v>
      </c>
      <c r="X48" s="16">
        <v>5.5521750676812136</v>
      </c>
    </row>
    <row r="49" spans="1:24" x14ac:dyDescent="0.2">
      <c r="A49" s="4" t="s">
        <v>19</v>
      </c>
      <c r="B49" s="15" t="s">
        <v>22</v>
      </c>
      <c r="C49" s="15" t="s">
        <v>23</v>
      </c>
      <c r="D49" s="99">
        <v>77</v>
      </c>
      <c r="E49" s="11">
        <v>377</v>
      </c>
      <c r="F49" s="12">
        <v>3704</v>
      </c>
      <c r="G49" s="13">
        <v>13.5</v>
      </c>
      <c r="H49" s="16">
        <v>5.4616866771531205</v>
      </c>
      <c r="I49" s="16">
        <v>5.147443169646416</v>
      </c>
      <c r="J49" s="16">
        <v>5.8305653578931569</v>
      </c>
      <c r="K49" s="16">
        <v>5.8423027122210627</v>
      </c>
      <c r="L49" s="16">
        <v>4.7905749258267933</v>
      </c>
      <c r="M49" s="16">
        <v>3.9571788085533495</v>
      </c>
      <c r="N49" s="16">
        <v>4.9244783190805874</v>
      </c>
      <c r="O49" s="16">
        <v>5.9432719613852383</v>
      </c>
      <c r="P49" s="16">
        <v>6.297295066178501</v>
      </c>
      <c r="Q49" s="16">
        <v>5.3013444384904407</v>
      </c>
      <c r="R49" s="16">
        <v>5.7387975586317648</v>
      </c>
      <c r="S49" s="16">
        <v>5.484148012566898</v>
      </c>
      <c r="T49" s="16">
        <v>5.6096803863140909</v>
      </c>
      <c r="U49" s="16">
        <v>3.3400896487816496</v>
      </c>
      <c r="V49" s="16">
        <v>5.8570583358453439</v>
      </c>
      <c r="W49" s="16">
        <v>5.0272120429052256</v>
      </c>
      <c r="X49" s="16">
        <v>5.7121244147857952</v>
      </c>
    </row>
    <row r="50" spans="1:24" ht="12.75" customHeight="1" x14ac:dyDescent="0.2">
      <c r="A50" s="4"/>
      <c r="F50" s="12"/>
      <c r="G50" s="8"/>
      <c r="H50" s="16"/>
    </row>
    <row r="51" spans="1:24" ht="12.75" customHeight="1" x14ac:dyDescent="0.2">
      <c r="A51" s="4"/>
      <c r="F51" s="12"/>
      <c r="G51" s="8"/>
      <c r="H51" s="16"/>
    </row>
    <row r="52" spans="1:24" ht="12.75" customHeight="1" x14ac:dyDescent="0.2">
      <c r="A52" s="4"/>
      <c r="F52" s="12"/>
      <c r="G52" s="8"/>
      <c r="H52" s="16"/>
    </row>
    <row r="53" spans="1:24" ht="12.75" customHeight="1" x14ac:dyDescent="0.2">
      <c r="A53" s="4"/>
      <c r="F53" s="12"/>
      <c r="G53" s="9"/>
      <c r="H53" s="16"/>
    </row>
    <row r="54" spans="1:24" ht="12.75" customHeight="1" x14ac:dyDescent="0.2">
      <c r="A54" s="4"/>
      <c r="F54" s="12"/>
      <c r="G54" s="9"/>
    </row>
    <row r="55" spans="1:24" ht="12.75" customHeight="1" x14ac:dyDescent="0.2">
      <c r="A55" s="4"/>
      <c r="F55" s="12"/>
      <c r="G55" s="9"/>
    </row>
    <row r="56" spans="1:24" x14ac:dyDescent="0.2">
      <c r="A56" s="4"/>
      <c r="F56" s="12"/>
      <c r="G56" s="9"/>
    </row>
    <row r="57" spans="1:24" x14ac:dyDescent="0.2">
      <c r="A57" s="4"/>
      <c r="F57" s="12"/>
      <c r="G57" s="9"/>
    </row>
    <row r="58" spans="1:24" x14ac:dyDescent="0.2">
      <c r="A58" s="4"/>
      <c r="F58" s="12"/>
      <c r="G58" s="9"/>
    </row>
    <row r="59" spans="1:24" x14ac:dyDescent="0.2">
      <c r="A59" s="4"/>
      <c r="F59" s="12"/>
      <c r="G59" s="9"/>
    </row>
    <row r="60" spans="1:24" x14ac:dyDescent="0.2">
      <c r="A60" s="4"/>
      <c r="F60" s="12"/>
      <c r="G60" s="9"/>
    </row>
    <row r="61" spans="1:24" x14ac:dyDescent="0.2">
      <c r="A61" s="4"/>
      <c r="F61" s="12"/>
      <c r="G61" s="9"/>
    </row>
    <row r="68" spans="2:2" x14ac:dyDescent="0.2">
      <c r="B68" s="5"/>
    </row>
    <row r="69" spans="2:2" x14ac:dyDescent="0.2">
      <c r="B69" s="5"/>
    </row>
    <row r="70" spans="2:2" x14ac:dyDescent="0.2">
      <c r="B70" s="5"/>
    </row>
    <row r="71" spans="2:2" x14ac:dyDescent="0.2">
      <c r="B71" s="5"/>
    </row>
    <row r="72" spans="2:2" x14ac:dyDescent="0.2">
      <c r="B72" s="5"/>
    </row>
    <row r="73" spans="2:2" x14ac:dyDescent="0.2">
      <c r="B73" s="5"/>
    </row>
  </sheetData>
  <phoneticPr fontId="4"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8"/>
  <sheetViews>
    <sheetView topLeftCell="R1" workbookViewId="0">
      <selection activeCell="Z32" sqref="Z32"/>
    </sheetView>
  </sheetViews>
  <sheetFormatPr defaultRowHeight="12.75" x14ac:dyDescent="0.2"/>
  <cols>
    <col min="1" max="1" width="5.7109375" style="12" customWidth="1"/>
    <col min="2" max="2" width="22.85546875" style="15" bestFit="1" customWidth="1"/>
    <col min="3" max="3" width="38" style="15" bestFit="1" customWidth="1"/>
    <col min="4" max="4" width="10.42578125" style="15" customWidth="1"/>
    <col min="5" max="5" width="16.28515625" style="12" customWidth="1"/>
    <col min="6" max="6" width="14.140625" style="15" customWidth="1"/>
    <col min="7" max="7" width="11.28515625" style="15" bestFit="1" customWidth="1"/>
    <col min="8" max="18" width="9.140625" style="15"/>
    <col min="19" max="19" width="11.28515625" style="15" customWidth="1"/>
    <col min="20" max="20" width="11.7109375" style="15" customWidth="1"/>
    <col min="21" max="21" width="9.140625" style="15"/>
    <col min="22" max="22" width="10.5703125" style="15" customWidth="1"/>
    <col min="23" max="23" width="10.7109375" style="15" customWidth="1"/>
    <col min="24" max="24" width="13" style="15" customWidth="1"/>
    <col min="25" max="25" width="12.5703125" style="15" customWidth="1"/>
    <col min="26" max="26" width="15.28515625" style="15" bestFit="1" customWidth="1"/>
    <col min="27" max="27" width="18.28515625" style="15" customWidth="1"/>
    <col min="28" max="30" width="15.85546875" style="15" customWidth="1"/>
    <col min="31" max="16384" width="9.140625" style="15"/>
  </cols>
  <sheetData>
    <row r="1" spans="1:30" ht="28.5" customHeight="1" x14ac:dyDescent="0.2">
      <c r="X1" s="371" t="s">
        <v>90</v>
      </c>
      <c r="Y1" s="371"/>
      <c r="Z1" s="371"/>
      <c r="AB1" s="371" t="s">
        <v>94</v>
      </c>
      <c r="AC1" s="371"/>
      <c r="AD1" s="371"/>
    </row>
    <row r="2" spans="1:30" s="10" customFormat="1" ht="39" customHeight="1" x14ac:dyDescent="0.2">
      <c r="A2" s="74" t="s">
        <v>0</v>
      </c>
      <c r="B2" s="75" t="s">
        <v>1</v>
      </c>
      <c r="C2" s="74" t="s">
        <v>2</v>
      </c>
      <c r="D2" s="3" t="s">
        <v>89</v>
      </c>
      <c r="E2" s="25" t="s">
        <v>3</v>
      </c>
      <c r="F2" s="74" t="s">
        <v>4</v>
      </c>
      <c r="G2" s="74" t="s">
        <v>5</v>
      </c>
      <c r="H2" s="25" t="s">
        <v>28</v>
      </c>
      <c r="I2" s="25" t="s">
        <v>29</v>
      </c>
      <c r="J2" s="25" t="s">
        <v>30</v>
      </c>
      <c r="K2" s="25" t="s">
        <v>31</v>
      </c>
      <c r="L2" s="25" t="s">
        <v>45</v>
      </c>
      <c r="M2" s="25" t="s">
        <v>35</v>
      </c>
      <c r="N2" s="25" t="s">
        <v>36</v>
      </c>
      <c r="O2" s="25" t="s">
        <v>34</v>
      </c>
      <c r="P2" s="25" t="s">
        <v>37</v>
      </c>
      <c r="Q2" s="25" t="s">
        <v>38</v>
      </c>
      <c r="R2" s="25" t="s">
        <v>39</v>
      </c>
      <c r="S2" s="25" t="s">
        <v>40</v>
      </c>
      <c r="T2" s="25" t="s">
        <v>41</v>
      </c>
      <c r="U2" s="25" t="s">
        <v>42</v>
      </c>
      <c r="V2" s="25" t="s">
        <v>43</v>
      </c>
      <c r="W2" s="76" t="s">
        <v>44</v>
      </c>
      <c r="X2" s="25" t="s">
        <v>71</v>
      </c>
      <c r="Y2" s="26" t="s">
        <v>72</v>
      </c>
      <c r="Z2" s="26" t="s">
        <v>80</v>
      </c>
      <c r="AA2" s="1" t="s">
        <v>85</v>
      </c>
      <c r="AB2" s="123" t="s">
        <v>91</v>
      </c>
      <c r="AC2" s="123" t="s">
        <v>92</v>
      </c>
      <c r="AD2" s="123" t="s">
        <v>93</v>
      </c>
    </row>
    <row r="3" spans="1:30" s="14" customFormat="1" x14ac:dyDescent="0.2">
      <c r="A3" s="32" t="s">
        <v>6</v>
      </c>
      <c r="B3" s="50" t="s">
        <v>9</v>
      </c>
      <c r="C3" s="50" t="s">
        <v>46</v>
      </c>
      <c r="D3" s="101">
        <v>8</v>
      </c>
      <c r="E3" s="47">
        <v>10080</v>
      </c>
      <c r="F3" s="35">
        <v>500</v>
      </c>
      <c r="G3" s="44">
        <v>2</v>
      </c>
      <c r="H3" s="27">
        <v>4.6083114133060707</v>
      </c>
      <c r="I3" s="27">
        <v>3.7633160314440168</v>
      </c>
      <c r="J3" s="27">
        <v>3.9482385260382298</v>
      </c>
      <c r="K3" s="27">
        <v>5.3498234709434609</v>
      </c>
      <c r="L3" s="27">
        <v>5.3432075718678487</v>
      </c>
      <c r="M3" s="27">
        <v>3.7309547887529115</v>
      </c>
      <c r="N3" s="27">
        <v>4.4402627195539113</v>
      </c>
      <c r="O3" s="27">
        <v>3.8571260376601169</v>
      </c>
      <c r="P3" s="27">
        <v>4.2795314242998268</v>
      </c>
      <c r="Q3" s="27">
        <v>5.421758199526991</v>
      </c>
      <c r="R3" s="27">
        <v>3.2130328592375856</v>
      </c>
      <c r="S3" s="27">
        <v>4.2521698036833735</v>
      </c>
      <c r="T3" s="27">
        <v>5.2324362238667845</v>
      </c>
      <c r="U3" s="27">
        <v>4.6397350646612248</v>
      </c>
      <c r="V3" s="27">
        <v>4.6436279298202674</v>
      </c>
      <c r="W3" s="27">
        <v>5.2628280102179268</v>
      </c>
      <c r="X3" s="93">
        <v>4.4991469999999998</v>
      </c>
      <c r="Y3" s="368">
        <v>4.2614280000000004</v>
      </c>
      <c r="Z3" s="389">
        <v>4.383</v>
      </c>
      <c r="AA3" s="359" t="s">
        <v>82</v>
      </c>
      <c r="AB3" s="126">
        <f>(5/16)*100</f>
        <v>31.25</v>
      </c>
      <c r="AC3" s="357">
        <f>(10/48)*100</f>
        <v>20.833333333333336</v>
      </c>
      <c r="AD3" s="358">
        <f>(31/144)*100</f>
        <v>21.527777777777779</v>
      </c>
    </row>
    <row r="4" spans="1:30" s="14" customFormat="1" x14ac:dyDescent="0.2">
      <c r="A4" s="37" t="s">
        <v>6</v>
      </c>
      <c r="B4" s="4" t="s">
        <v>9</v>
      </c>
      <c r="C4" s="4" t="s">
        <v>46</v>
      </c>
      <c r="D4" s="100">
        <v>8</v>
      </c>
      <c r="E4" s="7">
        <v>20080</v>
      </c>
      <c r="F4" s="12">
        <v>926</v>
      </c>
      <c r="G4" s="13">
        <v>4.5</v>
      </c>
      <c r="H4" s="28">
        <v>4.3425873025769111</v>
      </c>
      <c r="I4" s="28">
        <v>4.0169025697847411</v>
      </c>
      <c r="J4" s="28">
        <v>3.8225051243874009</v>
      </c>
      <c r="K4" s="28">
        <v>4.4462917826374477</v>
      </c>
      <c r="L4" s="28">
        <v>5.5915110053703341</v>
      </c>
      <c r="M4" s="28">
        <v>3.543432056129765</v>
      </c>
      <c r="N4" s="28">
        <v>4.2088448628551447</v>
      </c>
      <c r="O4" s="28">
        <v>3.9003407790579723</v>
      </c>
      <c r="P4" s="28">
        <v>4.0411505610617056</v>
      </c>
      <c r="Q4" s="28">
        <v>5.5276491977323605</v>
      </c>
      <c r="R4" s="28">
        <v>4.0403306724120469</v>
      </c>
      <c r="S4" s="28">
        <v>4.2580956345651257</v>
      </c>
      <c r="T4" s="28">
        <v>5.3502069458311929</v>
      </c>
      <c r="U4" s="28">
        <v>4.2829360253517423</v>
      </c>
      <c r="V4" s="28">
        <v>4.5880913763708406</v>
      </c>
      <c r="W4" s="28">
        <v>4.8817315933638747</v>
      </c>
      <c r="X4" s="93">
        <v>4.4276629999999999</v>
      </c>
      <c r="Y4" s="384"/>
      <c r="Z4" s="390"/>
      <c r="AA4" s="360"/>
      <c r="AB4" s="126">
        <f>(3/16)*100</f>
        <v>18.75</v>
      </c>
      <c r="AC4" s="357"/>
      <c r="AD4" s="358"/>
    </row>
    <row r="5" spans="1:30" s="14" customFormat="1" x14ac:dyDescent="0.2">
      <c r="A5" s="38" t="s">
        <v>6</v>
      </c>
      <c r="B5" s="52" t="s">
        <v>9</v>
      </c>
      <c r="C5" s="52" t="s">
        <v>46</v>
      </c>
      <c r="D5" s="102">
        <v>8</v>
      </c>
      <c r="E5" s="48">
        <v>30080</v>
      </c>
      <c r="F5" s="41">
        <v>3704</v>
      </c>
      <c r="G5" s="46">
        <v>13</v>
      </c>
      <c r="H5" s="29">
        <v>3.8071737648226218</v>
      </c>
      <c r="I5" s="29">
        <v>3.5566616748344546</v>
      </c>
      <c r="J5" s="29">
        <v>2.0838374513014899</v>
      </c>
      <c r="K5" s="29">
        <v>3.5224067537271631</v>
      </c>
      <c r="L5" s="29">
        <v>5.5558799871382032</v>
      </c>
      <c r="M5" s="29">
        <v>2.0782894858112329</v>
      </c>
      <c r="N5" s="29">
        <v>2.5291865303449401</v>
      </c>
      <c r="O5" s="29">
        <v>4.665668706566616</v>
      </c>
      <c r="P5" s="29">
        <v>2.7617730682741959</v>
      </c>
      <c r="Q5" s="29">
        <v>5.2765988838993296</v>
      </c>
      <c r="R5" s="29">
        <v>3.6880863205470056</v>
      </c>
      <c r="S5" s="29">
        <v>4.7638254761247287</v>
      </c>
      <c r="T5" s="29">
        <v>4.9931709344409958</v>
      </c>
      <c r="U5" s="29">
        <v>4.0341295402482675</v>
      </c>
      <c r="V5" s="29">
        <v>4.1377943849149101</v>
      </c>
      <c r="W5" s="29">
        <v>4.2651161883668181</v>
      </c>
      <c r="X5" s="95">
        <v>3.857475</v>
      </c>
      <c r="Y5" s="385"/>
      <c r="Z5" s="390"/>
      <c r="AA5" s="360"/>
      <c r="AB5" s="126">
        <f>(2/16)*100</f>
        <v>12.5</v>
      </c>
      <c r="AC5" s="357"/>
      <c r="AD5" s="358"/>
    </row>
    <row r="6" spans="1:30" s="14" customFormat="1" x14ac:dyDescent="0.2">
      <c r="A6" s="37" t="s">
        <v>6</v>
      </c>
      <c r="B6" s="4" t="s">
        <v>12</v>
      </c>
      <c r="C6" s="4" t="s">
        <v>47</v>
      </c>
      <c r="D6" s="101">
        <v>24</v>
      </c>
      <c r="E6" s="7">
        <v>10240</v>
      </c>
      <c r="F6" s="12">
        <v>500</v>
      </c>
      <c r="G6" s="13">
        <v>2.5</v>
      </c>
      <c r="H6" s="28">
        <v>3.5261462560671064</v>
      </c>
      <c r="I6" s="28">
        <v>4.0762080670747558</v>
      </c>
      <c r="J6" s="28">
        <v>3.991031839813159</v>
      </c>
      <c r="K6" s="28">
        <v>4.7270683188496019</v>
      </c>
      <c r="L6" s="28">
        <v>5.3436465991831996</v>
      </c>
      <c r="M6" s="28">
        <v>4.6713476174034341</v>
      </c>
      <c r="N6" s="28">
        <v>5.3695515242661305</v>
      </c>
      <c r="O6" s="28">
        <v>5.1108251007418053</v>
      </c>
      <c r="P6" s="28">
        <v>4.3004951912598797</v>
      </c>
      <c r="Q6" s="28">
        <v>6.6915356481194923</v>
      </c>
      <c r="R6" s="28">
        <v>3.6031415333707084</v>
      </c>
      <c r="S6" s="28">
        <v>3.8716435146770753</v>
      </c>
      <c r="T6" s="28">
        <v>6.7856523101798034</v>
      </c>
      <c r="U6" s="28">
        <v>4.8798468183453618</v>
      </c>
      <c r="V6" s="28">
        <v>3.3154358866450298</v>
      </c>
      <c r="W6" s="28">
        <v>5.0254212076378915</v>
      </c>
      <c r="X6" s="94">
        <v>4.7055619999999996</v>
      </c>
      <c r="Y6" s="384">
        <v>4.4365930000000002</v>
      </c>
      <c r="Z6" s="390"/>
      <c r="AA6" s="360"/>
      <c r="AB6" s="126">
        <f>(6/16)*100</f>
        <v>37.5</v>
      </c>
      <c r="AC6" s="357">
        <f>(12/48)*100</f>
        <v>25</v>
      </c>
      <c r="AD6" s="358"/>
    </row>
    <row r="7" spans="1:30" s="14" customFormat="1" x14ac:dyDescent="0.2">
      <c r="A7" s="37" t="s">
        <v>6</v>
      </c>
      <c r="B7" s="4" t="s">
        <v>12</v>
      </c>
      <c r="C7" s="4" t="s">
        <v>47</v>
      </c>
      <c r="D7" s="100">
        <v>24</v>
      </c>
      <c r="E7" s="7">
        <v>20240</v>
      </c>
      <c r="F7" s="12">
        <v>926</v>
      </c>
      <c r="G7" s="13">
        <v>6.5</v>
      </c>
      <c r="H7" s="28">
        <v>4.2239342095676289</v>
      </c>
      <c r="I7" s="28">
        <v>4.487754338335785</v>
      </c>
      <c r="J7" s="28">
        <v>3.4343102910085932</v>
      </c>
      <c r="K7" s="28">
        <v>3.912971507441263</v>
      </c>
      <c r="L7" s="28">
        <v>5.4105169970521407</v>
      </c>
      <c r="M7" s="28">
        <v>4.3412184567005188</v>
      </c>
      <c r="N7" s="28">
        <v>4.2769923574231807</v>
      </c>
      <c r="O7" s="28">
        <v>4.1263035238500203</v>
      </c>
      <c r="P7" s="28">
        <v>4.0073519534625408</v>
      </c>
      <c r="Q7" s="28">
        <v>6.0107232013471057</v>
      </c>
      <c r="R7" s="28">
        <v>4.7216400347285417</v>
      </c>
      <c r="S7" s="28">
        <v>4.786762654693665</v>
      </c>
      <c r="T7" s="28">
        <v>6.8812047935713228</v>
      </c>
      <c r="U7" s="28">
        <v>5.1262580008661844</v>
      </c>
      <c r="V7" s="28">
        <v>4.4409497935546884</v>
      </c>
      <c r="W7" s="28">
        <v>5.2254294773023782</v>
      </c>
      <c r="X7" s="93">
        <v>4.7133950000000002</v>
      </c>
      <c r="Y7" s="384"/>
      <c r="Z7" s="390"/>
      <c r="AA7" s="360"/>
      <c r="AB7" s="126">
        <f>(5/16)*100</f>
        <v>31.25</v>
      </c>
      <c r="AC7" s="357"/>
      <c r="AD7" s="358"/>
    </row>
    <row r="8" spans="1:30" s="14" customFormat="1" x14ac:dyDescent="0.2">
      <c r="A8" s="38" t="s">
        <v>6</v>
      </c>
      <c r="B8" s="52" t="s">
        <v>12</v>
      </c>
      <c r="C8" s="52" t="s">
        <v>47</v>
      </c>
      <c r="D8" s="102">
        <v>24</v>
      </c>
      <c r="E8" s="48">
        <v>30240</v>
      </c>
      <c r="F8" s="41">
        <v>3704</v>
      </c>
      <c r="G8" s="46">
        <v>15</v>
      </c>
      <c r="H8" s="29">
        <v>4.628520264272006</v>
      </c>
      <c r="I8" s="29">
        <v>3.5460870104568283</v>
      </c>
      <c r="J8" s="29">
        <v>3.3184943166908334</v>
      </c>
      <c r="K8" s="29">
        <v>3.0852688148710827</v>
      </c>
      <c r="L8" s="29">
        <v>3.6522311086383752</v>
      </c>
      <c r="M8" s="29">
        <v>3.9197460434825069</v>
      </c>
      <c r="N8" s="29">
        <v>2.8542052296560412</v>
      </c>
      <c r="O8" s="29">
        <v>3.4563503966489728</v>
      </c>
      <c r="P8" s="29">
        <v>2.9493332447732241</v>
      </c>
      <c r="Q8" s="29">
        <v>4.7742594559329943</v>
      </c>
      <c r="R8" s="29">
        <v>3.0441577131799376</v>
      </c>
      <c r="S8" s="29">
        <v>4.4327189598124095</v>
      </c>
      <c r="T8" s="29">
        <v>5.1115416635512556</v>
      </c>
      <c r="U8" s="29">
        <v>3.8699854513511287</v>
      </c>
      <c r="V8" s="29">
        <v>4.8285557997123068</v>
      </c>
      <c r="W8" s="29">
        <v>4.7816587435851741</v>
      </c>
      <c r="X8" s="95">
        <v>3.8908200000000002</v>
      </c>
      <c r="Y8" s="385"/>
      <c r="Z8" s="390"/>
      <c r="AA8" s="360"/>
      <c r="AB8" s="126">
        <f>(1/16)*100</f>
        <v>6.25</v>
      </c>
      <c r="AC8" s="357"/>
      <c r="AD8" s="358"/>
    </row>
    <row r="9" spans="1:30" s="14" customFormat="1" x14ac:dyDescent="0.2">
      <c r="A9" s="32" t="s">
        <v>6</v>
      </c>
      <c r="B9" s="49" t="s">
        <v>13</v>
      </c>
      <c r="C9" s="50" t="s">
        <v>48</v>
      </c>
      <c r="D9" s="101">
        <v>40</v>
      </c>
      <c r="E9" s="47">
        <v>10400</v>
      </c>
      <c r="F9" s="35">
        <v>500</v>
      </c>
      <c r="G9" s="44">
        <v>3</v>
      </c>
      <c r="H9" s="27">
        <v>4.4595738115532164</v>
      </c>
      <c r="I9" s="27">
        <v>4.5929536275050298</v>
      </c>
      <c r="J9" s="27">
        <v>4.3257679050645317</v>
      </c>
      <c r="K9" s="27">
        <v>3.7544509764516296</v>
      </c>
      <c r="L9" s="27">
        <v>5.9893487345148335</v>
      </c>
      <c r="M9" s="27">
        <v>4.225840958207888</v>
      </c>
      <c r="N9" s="27">
        <v>4.5225091568096394</v>
      </c>
      <c r="O9" s="27">
        <v>5.2431488821781018</v>
      </c>
      <c r="P9" s="27">
        <v>4.1563729897705661</v>
      </c>
      <c r="Q9" s="27">
        <v>4.5369941689982864</v>
      </c>
      <c r="R9" s="27">
        <v>5.1945633735145673</v>
      </c>
      <c r="S9" s="27">
        <v>4.7360655488838947</v>
      </c>
      <c r="T9" s="27">
        <v>7.4904895148884956</v>
      </c>
      <c r="U9" s="27">
        <v>4.102675517420745</v>
      </c>
      <c r="V9" s="27">
        <v>4.3475208261482461</v>
      </c>
      <c r="W9" s="27">
        <v>4.8862755621758396</v>
      </c>
      <c r="X9" s="93">
        <v>4.785285</v>
      </c>
      <c r="Y9" s="368">
        <v>4.4341470000000003</v>
      </c>
      <c r="Z9" s="390"/>
      <c r="AA9" s="360"/>
      <c r="AB9" s="126">
        <f>(4/16)*100</f>
        <v>25</v>
      </c>
      <c r="AC9" s="357">
        <f>(9/48)*100</f>
        <v>18.75</v>
      </c>
      <c r="AD9" s="358"/>
    </row>
    <row r="10" spans="1:30" s="14" customFormat="1" x14ac:dyDescent="0.2">
      <c r="A10" s="37" t="s">
        <v>6</v>
      </c>
      <c r="B10" s="6" t="s">
        <v>13</v>
      </c>
      <c r="C10" s="4" t="s">
        <v>48</v>
      </c>
      <c r="D10" s="100">
        <v>40</v>
      </c>
      <c r="E10" s="7">
        <v>20400</v>
      </c>
      <c r="F10" s="12">
        <v>926</v>
      </c>
      <c r="G10" s="13">
        <v>6.5</v>
      </c>
      <c r="H10" s="28">
        <v>4.6649617805778174</v>
      </c>
      <c r="I10" s="28">
        <v>3.1941498053582813</v>
      </c>
      <c r="J10" s="28">
        <v>4.2974799126128156</v>
      </c>
      <c r="K10" s="28">
        <v>3.4197433194992799</v>
      </c>
      <c r="L10" s="28">
        <v>5.2786031883795657</v>
      </c>
      <c r="M10" s="28">
        <v>4.1293997742437094</v>
      </c>
      <c r="N10" s="28">
        <v>4.8505998314243621</v>
      </c>
      <c r="O10" s="28">
        <v>4.9147042080650758</v>
      </c>
      <c r="P10" s="28">
        <v>3.3897064396424632</v>
      </c>
      <c r="Q10" s="28">
        <v>4.2270631632289346</v>
      </c>
      <c r="R10" s="28">
        <v>4.413679733258177</v>
      </c>
      <c r="S10" s="28">
        <v>4.6891876161478683</v>
      </c>
      <c r="T10" s="28">
        <v>7.189870744170447</v>
      </c>
      <c r="U10" s="28">
        <v>3.7029999999999998</v>
      </c>
      <c r="V10" s="28">
        <v>4.4513822855404959</v>
      </c>
      <c r="W10" s="28">
        <v>5.1378879043492445</v>
      </c>
      <c r="X10" s="93">
        <v>4.4969400000000004</v>
      </c>
      <c r="Y10" s="384"/>
      <c r="Z10" s="390"/>
      <c r="AA10" s="360"/>
      <c r="AB10" s="126">
        <f>(3/16)*100</f>
        <v>18.75</v>
      </c>
      <c r="AC10" s="357"/>
      <c r="AD10" s="358"/>
    </row>
    <row r="11" spans="1:30" s="14" customFormat="1" x14ac:dyDescent="0.2">
      <c r="A11" s="38" t="s">
        <v>6</v>
      </c>
      <c r="B11" s="51" t="s">
        <v>13</v>
      </c>
      <c r="C11" s="52" t="s">
        <v>48</v>
      </c>
      <c r="D11" s="102">
        <v>40</v>
      </c>
      <c r="E11" s="48">
        <v>30400</v>
      </c>
      <c r="F11" s="41">
        <v>3704</v>
      </c>
      <c r="G11" s="46">
        <v>13</v>
      </c>
      <c r="H11" s="29">
        <v>2.8085081463137183</v>
      </c>
      <c r="I11" s="29">
        <v>3.4351890213787772</v>
      </c>
      <c r="J11" s="29">
        <v>3.6813349574826555</v>
      </c>
      <c r="K11" s="29">
        <v>2.5988485584172412</v>
      </c>
      <c r="L11" s="29">
        <v>3.8297748637104441</v>
      </c>
      <c r="M11" s="29">
        <v>3.5070989971535056</v>
      </c>
      <c r="N11" s="29">
        <v>4.282021263181754</v>
      </c>
      <c r="O11" s="29">
        <v>3.9004954450227398</v>
      </c>
      <c r="P11" s="29">
        <v>4.0984832588335696</v>
      </c>
      <c r="Q11" s="29">
        <v>4.250211026804771</v>
      </c>
      <c r="R11" s="29">
        <v>4.3594161731156769</v>
      </c>
      <c r="S11" s="29">
        <v>4.7404220642927593</v>
      </c>
      <c r="T11" s="29">
        <v>6.8809930897355045</v>
      </c>
      <c r="U11" s="29">
        <v>3.6090300735945924</v>
      </c>
      <c r="V11" s="29">
        <v>4.170391751074189</v>
      </c>
      <c r="W11" s="29">
        <v>5.0045787924103333</v>
      </c>
      <c r="X11" s="93">
        <v>4.0202159999999996</v>
      </c>
      <c r="Y11" s="385"/>
      <c r="Z11" s="391"/>
      <c r="AA11" s="361"/>
      <c r="AB11" s="126">
        <f>(2/16)*100</f>
        <v>12.5</v>
      </c>
      <c r="AC11" s="357"/>
      <c r="AD11" s="358"/>
    </row>
    <row r="12" spans="1:30" s="14" customFormat="1" x14ac:dyDescent="0.2">
      <c r="A12" s="32" t="s">
        <v>6</v>
      </c>
      <c r="B12" s="43" t="s">
        <v>50</v>
      </c>
      <c r="C12" s="43" t="s">
        <v>51</v>
      </c>
      <c r="D12" s="100">
        <v>53</v>
      </c>
      <c r="E12" s="47">
        <v>10530</v>
      </c>
      <c r="F12" s="35">
        <v>500</v>
      </c>
      <c r="G12" s="44">
        <v>5</v>
      </c>
      <c r="H12" s="27">
        <v>3.9516958973362657</v>
      </c>
      <c r="I12" s="77">
        <v>3.8770278528663127</v>
      </c>
      <c r="J12" s="27">
        <v>3.914186391134213</v>
      </c>
      <c r="K12" s="27">
        <v>4.3680439640570858</v>
      </c>
      <c r="L12" s="27">
        <v>4.9039103443913303</v>
      </c>
      <c r="M12" s="27">
        <v>4.01927151385346</v>
      </c>
      <c r="N12" s="27">
        <v>4.1544926976562531</v>
      </c>
      <c r="O12" s="27">
        <v>2.9950761962119108</v>
      </c>
      <c r="P12" s="27">
        <v>3.7385992071985426</v>
      </c>
      <c r="Q12" s="27">
        <v>3.9513838477598893</v>
      </c>
      <c r="R12" s="27">
        <v>4.106449845716396</v>
      </c>
      <c r="S12" s="27">
        <v>4.2417585739064361</v>
      </c>
      <c r="T12" s="27">
        <v>4.8434031726899631</v>
      </c>
      <c r="U12" s="27">
        <v>3.7604938347083157</v>
      </c>
      <c r="V12" s="27">
        <v>4.5591016883980657</v>
      </c>
      <c r="W12" s="27">
        <v>3.8556650975792728</v>
      </c>
      <c r="X12" s="93">
        <v>4.0775350000000001</v>
      </c>
      <c r="Y12" s="386">
        <v>3.9233929999999999</v>
      </c>
      <c r="Z12" s="389">
        <v>4.0599999999999996</v>
      </c>
      <c r="AA12" s="359" t="s">
        <v>83</v>
      </c>
      <c r="AB12" s="126">
        <f>(0/16)*100</f>
        <v>0</v>
      </c>
      <c r="AC12" s="357">
        <f>(2/48)*100</f>
        <v>4.1666666666666661</v>
      </c>
      <c r="AD12" s="358">
        <f>(7/96)*100</f>
        <v>7.291666666666667</v>
      </c>
    </row>
    <row r="13" spans="1:30" s="14" customFormat="1" x14ac:dyDescent="0.2">
      <c r="A13" s="37" t="s">
        <v>6</v>
      </c>
      <c r="B13" s="14" t="s">
        <v>50</v>
      </c>
      <c r="C13" s="14" t="s">
        <v>51</v>
      </c>
      <c r="D13" s="100">
        <v>53</v>
      </c>
      <c r="E13" s="7">
        <v>20530</v>
      </c>
      <c r="F13" s="12">
        <v>926</v>
      </c>
      <c r="G13" s="13">
        <v>6</v>
      </c>
      <c r="H13" s="28">
        <v>3.4674513237950131</v>
      </c>
      <c r="I13" s="28">
        <v>3.9218738356041336</v>
      </c>
      <c r="J13" s="28">
        <v>2.3524380228069166</v>
      </c>
      <c r="K13" s="28">
        <v>4.6256478791614528</v>
      </c>
      <c r="L13" s="28">
        <v>4.6826893140361827</v>
      </c>
      <c r="M13" s="28">
        <v>2.9110035424082947</v>
      </c>
      <c r="N13" s="28">
        <v>4.4525765515700817</v>
      </c>
      <c r="O13" s="28">
        <v>2.7403912619157107</v>
      </c>
      <c r="P13" s="28">
        <v>3.4609378454348301</v>
      </c>
      <c r="Q13" s="28">
        <v>3.1760660562662943</v>
      </c>
      <c r="R13" s="28">
        <v>4.4052284594751159</v>
      </c>
      <c r="S13" s="28">
        <v>4.2185276013784758</v>
      </c>
      <c r="T13" s="28">
        <v>5.053954680728804</v>
      </c>
      <c r="U13" s="28">
        <v>4.0921154699081441</v>
      </c>
      <c r="V13" s="28">
        <v>3.9906981544661253</v>
      </c>
      <c r="W13" s="28">
        <v>3.0890089748950915</v>
      </c>
      <c r="X13" s="95">
        <v>3.790038</v>
      </c>
      <c r="Y13" s="387"/>
      <c r="Z13" s="390"/>
      <c r="AA13" s="360"/>
      <c r="AB13" s="126">
        <f>(1/16)*100</f>
        <v>6.25</v>
      </c>
      <c r="AC13" s="357"/>
      <c r="AD13" s="358"/>
    </row>
    <row r="14" spans="1:30" s="14" customFormat="1" x14ac:dyDescent="0.2">
      <c r="A14" s="38" t="s">
        <v>6</v>
      </c>
      <c r="B14" s="45" t="s">
        <v>50</v>
      </c>
      <c r="C14" s="45" t="s">
        <v>51</v>
      </c>
      <c r="D14" s="102">
        <v>53</v>
      </c>
      <c r="E14" s="48">
        <v>30530</v>
      </c>
      <c r="F14" s="41">
        <v>3704</v>
      </c>
      <c r="G14" s="46">
        <v>12</v>
      </c>
      <c r="H14" s="29">
        <v>3.5226290547056927</v>
      </c>
      <c r="I14" s="29">
        <v>4.3052531089018089</v>
      </c>
      <c r="J14" s="29">
        <v>3.387258197530389</v>
      </c>
      <c r="K14" s="29">
        <v>4.231352399234666</v>
      </c>
      <c r="L14" s="29">
        <v>5.0090323954254563</v>
      </c>
      <c r="M14" s="29">
        <v>3.6702751342349522</v>
      </c>
      <c r="N14" s="29">
        <v>3.9185997496706002</v>
      </c>
      <c r="O14" s="29">
        <v>3.0955248217522811</v>
      </c>
      <c r="P14" s="29">
        <v>2.8532453789871703</v>
      </c>
      <c r="Q14" s="29">
        <v>3.7525630840268573</v>
      </c>
      <c r="R14" s="29">
        <v>4.4318659841448111</v>
      </c>
      <c r="S14" s="29">
        <v>3.9663328369004955</v>
      </c>
      <c r="T14" s="29">
        <v>3.942245832952382</v>
      </c>
      <c r="U14" s="29">
        <v>3.8948989857836298</v>
      </c>
      <c r="V14" s="29">
        <v>4.167282371418243</v>
      </c>
      <c r="W14" s="29">
        <v>4.2933169853122157</v>
      </c>
      <c r="X14" s="95">
        <v>3.9026049999999999</v>
      </c>
      <c r="Y14" s="388"/>
      <c r="Z14" s="390"/>
      <c r="AA14" s="360"/>
      <c r="AB14" s="126">
        <f>(1/16)*100</f>
        <v>6.25</v>
      </c>
      <c r="AC14" s="357"/>
      <c r="AD14" s="358"/>
    </row>
    <row r="15" spans="1:30" s="14" customFormat="1" x14ac:dyDescent="0.2">
      <c r="A15" s="32" t="s">
        <v>6</v>
      </c>
      <c r="B15" s="43" t="s">
        <v>49</v>
      </c>
      <c r="C15" s="43" t="s">
        <v>52</v>
      </c>
      <c r="D15" s="100">
        <v>56</v>
      </c>
      <c r="E15" s="47">
        <v>10560</v>
      </c>
      <c r="F15" s="35">
        <v>500</v>
      </c>
      <c r="G15" s="44">
        <v>2.5</v>
      </c>
      <c r="H15" s="27">
        <v>3.613587921016403</v>
      </c>
      <c r="I15" s="27">
        <v>4.5216269164075094</v>
      </c>
      <c r="J15" s="27">
        <v>4.7944052461818236</v>
      </c>
      <c r="K15" s="27">
        <v>4.8811412831948777</v>
      </c>
      <c r="L15" s="27">
        <v>5.0195775653776815</v>
      </c>
      <c r="M15" s="27">
        <v>3.8006973269639044</v>
      </c>
      <c r="N15" s="27">
        <v>3.7733172778702979</v>
      </c>
      <c r="O15" s="27">
        <v>2.7210082353373606</v>
      </c>
      <c r="P15" s="27">
        <v>3.6484080440666</v>
      </c>
      <c r="Q15" s="27">
        <v>3.8448178587544022</v>
      </c>
      <c r="R15" s="27">
        <v>4.6595949084768682</v>
      </c>
      <c r="S15" s="27">
        <v>4.2360035914754803</v>
      </c>
      <c r="T15" s="27">
        <v>5.5143821639990946</v>
      </c>
      <c r="U15" s="27">
        <v>4.1078856947167131</v>
      </c>
      <c r="V15" s="27">
        <v>4.176087101566778</v>
      </c>
      <c r="W15" s="27">
        <v>4.8532239946189026</v>
      </c>
      <c r="X15" s="93">
        <v>4.2603600000000004</v>
      </c>
      <c r="Y15" s="368">
        <v>4.1970049999999999</v>
      </c>
      <c r="Z15" s="390"/>
      <c r="AA15" s="360"/>
      <c r="AB15" s="126">
        <f>(2/16)*100</f>
        <v>12.5</v>
      </c>
      <c r="AC15" s="357">
        <f>(5/48)*100</f>
        <v>10.416666666666668</v>
      </c>
      <c r="AD15" s="358"/>
    </row>
    <row r="16" spans="1:30" s="14" customFormat="1" x14ac:dyDescent="0.2">
      <c r="A16" s="37" t="s">
        <v>6</v>
      </c>
      <c r="B16" s="14" t="s">
        <v>49</v>
      </c>
      <c r="C16" s="14" t="s">
        <v>52</v>
      </c>
      <c r="D16" s="100">
        <v>56</v>
      </c>
      <c r="E16" s="12">
        <v>20560</v>
      </c>
      <c r="F16" s="12">
        <v>926</v>
      </c>
      <c r="G16" s="13">
        <v>5</v>
      </c>
      <c r="H16" s="28">
        <v>3.6357871819274941</v>
      </c>
      <c r="I16" s="28">
        <v>3.9700310419867675</v>
      </c>
      <c r="J16" s="28">
        <v>4.4803319794299474</v>
      </c>
      <c r="K16" s="28">
        <v>4.978026743255727</v>
      </c>
      <c r="L16" s="28">
        <v>5.1665739423207873</v>
      </c>
      <c r="M16" s="28">
        <v>4.0686229763700785</v>
      </c>
      <c r="N16" s="28">
        <v>3.6424865767651982</v>
      </c>
      <c r="O16" s="28">
        <v>3.2582771521459861</v>
      </c>
      <c r="P16" s="28">
        <v>3.2573807389302889</v>
      </c>
      <c r="Q16" s="28">
        <v>4.0356681571886019</v>
      </c>
      <c r="R16" s="28">
        <v>4.4545425415737707</v>
      </c>
      <c r="S16" s="28">
        <v>4.2856358012474933</v>
      </c>
      <c r="T16" s="28">
        <v>5.2288952797932566</v>
      </c>
      <c r="U16" s="28">
        <v>4.3407673981877197</v>
      </c>
      <c r="V16" s="28">
        <v>2.8754813063509173</v>
      </c>
      <c r="W16" s="28">
        <v>4.6219431756644305</v>
      </c>
      <c r="X16" s="93">
        <v>4.1437780000000002</v>
      </c>
      <c r="Y16" s="384"/>
      <c r="Z16" s="390"/>
      <c r="AA16" s="360"/>
      <c r="AB16" s="126">
        <f>(2/16)*100</f>
        <v>12.5</v>
      </c>
      <c r="AC16" s="357"/>
      <c r="AD16" s="358"/>
    </row>
    <row r="17" spans="1:30" s="14" customFormat="1" x14ac:dyDescent="0.2">
      <c r="A17" s="38" t="s">
        <v>6</v>
      </c>
      <c r="B17" s="45" t="s">
        <v>49</v>
      </c>
      <c r="C17" s="45" t="s">
        <v>52</v>
      </c>
      <c r="D17" s="102">
        <v>56</v>
      </c>
      <c r="E17" s="41">
        <v>30560</v>
      </c>
      <c r="F17" s="41">
        <v>3704</v>
      </c>
      <c r="G17" s="46">
        <v>16</v>
      </c>
      <c r="H17" s="29">
        <v>3.9977163275248202</v>
      </c>
      <c r="I17" s="29">
        <v>4.1130785925512763</v>
      </c>
      <c r="J17" s="29">
        <v>2.8429074785066875</v>
      </c>
      <c r="K17" s="29">
        <v>4.9621287542769981</v>
      </c>
      <c r="L17" s="29">
        <v>4.7795870436529855</v>
      </c>
      <c r="M17" s="29">
        <v>3.7696788031231998</v>
      </c>
      <c r="N17" s="29">
        <v>4.0606264844358044</v>
      </c>
      <c r="O17" s="29">
        <v>2.8883261419964885</v>
      </c>
      <c r="P17" s="29">
        <v>4.1110294718025999</v>
      </c>
      <c r="Q17" s="29">
        <v>4.220382142528635</v>
      </c>
      <c r="R17" s="29">
        <v>4.5325816465823427</v>
      </c>
      <c r="S17" s="29">
        <v>3.585422619985875</v>
      </c>
      <c r="T17" s="29">
        <v>5.2718978992175449</v>
      </c>
      <c r="U17" s="29">
        <v>4.6528200325828628</v>
      </c>
      <c r="V17" s="29">
        <v>4.5687983248782071</v>
      </c>
      <c r="W17" s="29">
        <v>4.63303730949628</v>
      </c>
      <c r="X17" s="93">
        <v>4.1868759999999998</v>
      </c>
      <c r="Y17" s="385"/>
      <c r="Z17" s="391"/>
      <c r="AA17" s="361"/>
      <c r="AB17" s="126">
        <f>(1/16)*100</f>
        <v>6.25</v>
      </c>
      <c r="AC17" s="357"/>
      <c r="AD17" s="358"/>
    </row>
    <row r="18" spans="1:30" s="14" customFormat="1" x14ac:dyDescent="0.2">
      <c r="A18" s="32" t="s">
        <v>6</v>
      </c>
      <c r="B18" s="43" t="s">
        <v>16</v>
      </c>
      <c r="C18" s="43" t="s">
        <v>53</v>
      </c>
      <c r="D18" s="100">
        <v>64</v>
      </c>
      <c r="E18" s="35">
        <v>10640</v>
      </c>
      <c r="F18" s="35">
        <v>500</v>
      </c>
      <c r="G18" s="44">
        <v>2.5</v>
      </c>
      <c r="H18" s="71"/>
      <c r="I18" s="27">
        <v>5.5512918994199536</v>
      </c>
      <c r="J18" s="27">
        <v>5.9539362587909705</v>
      </c>
      <c r="K18" s="27">
        <v>4.0520427155945393</v>
      </c>
      <c r="L18" s="27">
        <v>5.5194021017122097</v>
      </c>
      <c r="M18" s="27">
        <v>5.3058184327879347</v>
      </c>
      <c r="N18" s="27">
        <v>5.9298091758159277</v>
      </c>
      <c r="O18" s="27">
        <v>5.595424603748393</v>
      </c>
      <c r="P18" s="27">
        <v>5.8135498938256962</v>
      </c>
      <c r="Q18" s="27">
        <v>5.9157531440326938</v>
      </c>
      <c r="R18" s="27">
        <v>6.211632670298366</v>
      </c>
      <c r="S18" s="27">
        <v>5.5309059987986622</v>
      </c>
      <c r="T18" s="27">
        <v>6.4881628736463757</v>
      </c>
      <c r="U18" s="27">
        <v>5.0311643321497632</v>
      </c>
      <c r="V18" s="27">
        <v>4.7926884245308319</v>
      </c>
      <c r="W18" s="27">
        <v>4.9708023897702693</v>
      </c>
      <c r="X18" s="96">
        <v>5.5108259999999998</v>
      </c>
      <c r="Y18" s="365">
        <v>5.2514320000000003</v>
      </c>
      <c r="Z18" s="380">
        <v>5.1859999999999999</v>
      </c>
      <c r="AA18" s="359" t="s">
        <v>88</v>
      </c>
      <c r="AB18" s="126">
        <f>(12/15)*100</f>
        <v>80</v>
      </c>
      <c r="AC18" s="357">
        <f>(31/45)*100</f>
        <v>68.888888888888886</v>
      </c>
      <c r="AD18" s="358">
        <f>(59/93)*100</f>
        <v>63.44086021505376</v>
      </c>
    </row>
    <row r="19" spans="1:30" s="14" customFormat="1" x14ac:dyDescent="0.2">
      <c r="A19" s="37" t="s">
        <v>6</v>
      </c>
      <c r="B19" s="14" t="s">
        <v>16</v>
      </c>
      <c r="C19" s="14" t="s">
        <v>53</v>
      </c>
      <c r="D19" s="100">
        <v>64</v>
      </c>
      <c r="E19" s="12">
        <v>20640</v>
      </c>
      <c r="F19" s="12">
        <v>926</v>
      </c>
      <c r="G19" s="13">
        <v>9.5</v>
      </c>
      <c r="H19" s="72"/>
      <c r="I19" s="28">
        <v>5.3363275653356732</v>
      </c>
      <c r="J19" s="28">
        <v>5.5284361606073364</v>
      </c>
      <c r="K19" s="28">
        <v>4.9260858136271173</v>
      </c>
      <c r="L19" s="28">
        <v>5.5014338882916505</v>
      </c>
      <c r="M19" s="28">
        <v>5.3550708336888748</v>
      </c>
      <c r="N19" s="28">
        <v>5.5677221962706538</v>
      </c>
      <c r="O19" s="28">
        <v>6.3962677711750962</v>
      </c>
      <c r="P19" s="28">
        <v>6.3612001435120051</v>
      </c>
      <c r="Q19" s="28">
        <v>6.9341770263556324</v>
      </c>
      <c r="R19" s="28">
        <v>5.5861826976693862</v>
      </c>
      <c r="S19" s="28">
        <v>5.9513413424541035</v>
      </c>
      <c r="T19" s="28">
        <v>6.4652342976662434</v>
      </c>
      <c r="U19" s="28">
        <v>4.362702612914287</v>
      </c>
      <c r="V19" s="28">
        <v>4.8099926152836581</v>
      </c>
      <c r="W19" s="28">
        <v>4.663841736393338</v>
      </c>
      <c r="X19" s="96">
        <v>5.5830679999999999</v>
      </c>
      <c r="Y19" s="378"/>
      <c r="Z19" s="381"/>
      <c r="AA19" s="360"/>
      <c r="AB19" s="126">
        <f>(11/15)*100</f>
        <v>73.333333333333329</v>
      </c>
      <c r="AC19" s="357"/>
      <c r="AD19" s="358"/>
    </row>
    <row r="20" spans="1:30" s="14" customFormat="1" x14ac:dyDescent="0.2">
      <c r="A20" s="38" t="s">
        <v>6</v>
      </c>
      <c r="B20" s="45" t="s">
        <v>16</v>
      </c>
      <c r="C20" s="45" t="s">
        <v>53</v>
      </c>
      <c r="D20" s="102">
        <v>64</v>
      </c>
      <c r="E20" s="41">
        <v>30640</v>
      </c>
      <c r="F20" s="41">
        <v>3704</v>
      </c>
      <c r="G20" s="46">
        <v>19</v>
      </c>
      <c r="H20" s="73"/>
      <c r="I20" s="29">
        <v>3.1967440251883414</v>
      </c>
      <c r="J20" s="29">
        <v>4.0367801741074461</v>
      </c>
      <c r="K20" s="29">
        <v>2.6154656154277967</v>
      </c>
      <c r="L20" s="29">
        <v>5.5416050093424651</v>
      </c>
      <c r="M20" s="29">
        <v>4.2297701781423749</v>
      </c>
      <c r="N20" s="29">
        <v>5.0046558513609911</v>
      </c>
      <c r="O20" s="29">
        <v>5.2480304279819228</v>
      </c>
      <c r="P20" s="29">
        <v>5.3148183304544636</v>
      </c>
      <c r="Q20" s="29">
        <v>5.2557028176241731</v>
      </c>
      <c r="R20" s="29">
        <v>5.1025167178338249</v>
      </c>
      <c r="S20" s="29">
        <v>4.246428409591072</v>
      </c>
      <c r="T20" s="29">
        <v>6.3646962593795484</v>
      </c>
      <c r="U20" s="29">
        <v>5.357001343971727</v>
      </c>
      <c r="V20" s="29">
        <v>4.4860362449317552</v>
      </c>
      <c r="W20" s="29">
        <v>3.9058158178669031</v>
      </c>
      <c r="X20" s="93">
        <v>4.6604049999999999</v>
      </c>
      <c r="Y20" s="379"/>
      <c r="Z20" s="381"/>
      <c r="AA20" s="360"/>
      <c r="AB20" s="126">
        <f>(8/15)*100</f>
        <v>53.333333333333336</v>
      </c>
      <c r="AC20" s="357"/>
      <c r="AD20" s="358"/>
    </row>
    <row r="21" spans="1:30" s="14" customFormat="1" x14ac:dyDescent="0.2">
      <c r="A21" s="32" t="s">
        <v>19</v>
      </c>
      <c r="B21" s="43" t="s">
        <v>20</v>
      </c>
      <c r="C21" s="43" t="s">
        <v>54</v>
      </c>
      <c r="D21" s="100">
        <v>72</v>
      </c>
      <c r="E21" s="35">
        <v>10720</v>
      </c>
      <c r="F21" s="35">
        <v>500</v>
      </c>
      <c r="G21" s="44">
        <v>2</v>
      </c>
      <c r="H21" s="27">
        <v>2.6933908159657953</v>
      </c>
      <c r="I21" s="27">
        <v>5.2557772024583489</v>
      </c>
      <c r="J21" s="27">
        <v>4.8549987698692112</v>
      </c>
      <c r="K21" s="27">
        <v>4.1795414750705868</v>
      </c>
      <c r="L21" s="27">
        <v>6.0758597330179427</v>
      </c>
      <c r="M21" s="27">
        <v>5.4324104401514957</v>
      </c>
      <c r="N21" s="27">
        <v>4.2800239046962298</v>
      </c>
      <c r="O21" s="27">
        <v>5.0726616359382994</v>
      </c>
      <c r="P21" s="27">
        <v>5.5675262334728215</v>
      </c>
      <c r="Q21" s="27">
        <v>5.6840855159609447</v>
      </c>
      <c r="R21" s="27">
        <v>5.4778749458310951</v>
      </c>
      <c r="S21" s="27">
        <v>4.8655587813915755</v>
      </c>
      <c r="T21" s="27">
        <v>6.9444461254904244</v>
      </c>
      <c r="U21" s="27">
        <v>4.852182772735091</v>
      </c>
      <c r="V21" s="27">
        <v>5.2346890180748415</v>
      </c>
      <c r="W21" s="27">
        <v>3.5022166928777843</v>
      </c>
      <c r="X21" s="93">
        <v>4.9983279999999999</v>
      </c>
      <c r="Y21" s="383">
        <v>5.1243970000000001</v>
      </c>
      <c r="Z21" s="381"/>
      <c r="AA21" s="360"/>
      <c r="AB21" s="126">
        <f>(9/16)*100</f>
        <v>56.25</v>
      </c>
      <c r="AC21" s="357">
        <f>(28/48)*100</f>
        <v>58.333333333333336</v>
      </c>
      <c r="AD21" s="358"/>
    </row>
    <row r="22" spans="1:30" s="14" customFormat="1" x14ac:dyDescent="0.2">
      <c r="A22" s="37" t="s">
        <v>19</v>
      </c>
      <c r="B22" s="14" t="s">
        <v>20</v>
      </c>
      <c r="C22" s="14" t="s">
        <v>54</v>
      </c>
      <c r="D22" s="100">
        <v>72</v>
      </c>
      <c r="E22" s="12">
        <v>20720</v>
      </c>
      <c r="F22" s="12">
        <v>926</v>
      </c>
      <c r="G22" s="13">
        <v>3.5</v>
      </c>
      <c r="H22" s="28">
        <v>5.4248550004527454</v>
      </c>
      <c r="I22" s="28">
        <v>3.8293223388163877</v>
      </c>
      <c r="J22" s="28">
        <v>4.7470503288097934</v>
      </c>
      <c r="K22" s="28">
        <v>5.6861847610682217</v>
      </c>
      <c r="L22" s="28">
        <v>6.1005969228422714</v>
      </c>
      <c r="M22" s="28">
        <v>5.7367734176265941</v>
      </c>
      <c r="N22" s="28">
        <v>5.5089804196741694</v>
      </c>
      <c r="O22" s="28">
        <v>4.4228512049057311</v>
      </c>
      <c r="P22" s="28">
        <v>5.8698866551776288</v>
      </c>
      <c r="Q22" s="28">
        <v>5.6898244078138394</v>
      </c>
      <c r="R22" s="28">
        <v>5.7234245027967754</v>
      </c>
      <c r="S22" s="28">
        <v>4.5594297570893829</v>
      </c>
      <c r="T22" s="28">
        <v>7.357153683433153</v>
      </c>
      <c r="U22" s="28">
        <v>4.6629941365480949</v>
      </c>
      <c r="V22" s="28">
        <v>5.0575185520388874</v>
      </c>
      <c r="W22" s="28">
        <v>4.3072374004176375</v>
      </c>
      <c r="X22" s="96">
        <v>5.2927549999999997</v>
      </c>
      <c r="Y22" s="383"/>
      <c r="Z22" s="381"/>
      <c r="AA22" s="360"/>
      <c r="AB22" s="126">
        <f>(10/16)*100</f>
        <v>62.5</v>
      </c>
      <c r="AC22" s="357"/>
      <c r="AD22" s="358"/>
    </row>
    <row r="23" spans="1:30" x14ac:dyDescent="0.2">
      <c r="A23" s="37" t="s">
        <v>19</v>
      </c>
      <c r="B23" s="14" t="s">
        <v>20</v>
      </c>
      <c r="C23" s="14" t="s">
        <v>54</v>
      </c>
      <c r="D23" s="102">
        <v>72</v>
      </c>
      <c r="E23" s="12">
        <v>30720</v>
      </c>
      <c r="F23" s="12">
        <v>3704</v>
      </c>
      <c r="G23" s="13">
        <v>13.5</v>
      </c>
      <c r="H23" s="28">
        <v>5.120605205004976</v>
      </c>
      <c r="I23" s="28">
        <v>5.0903159884978546</v>
      </c>
      <c r="J23" s="28">
        <v>4.6681473851898083</v>
      </c>
      <c r="K23" s="28">
        <v>5.290364495740425</v>
      </c>
      <c r="L23" s="28">
        <v>5.7839223433205076</v>
      </c>
      <c r="M23" s="28">
        <v>3.6236207646650063</v>
      </c>
      <c r="N23" s="28">
        <v>6.073659800848783</v>
      </c>
      <c r="O23" s="28">
        <v>4.048946056646078</v>
      </c>
      <c r="P23" s="28">
        <v>4.5903740693337971</v>
      </c>
      <c r="Q23" s="28">
        <v>5.8072189639198646</v>
      </c>
      <c r="R23" s="28">
        <v>5.4760654255654329</v>
      </c>
      <c r="S23" s="28">
        <v>4.3142704237438609</v>
      </c>
      <c r="T23" s="28">
        <v>7.4451496295288555</v>
      </c>
      <c r="U23" s="28">
        <v>4.228236040703524</v>
      </c>
      <c r="V23" s="28">
        <v>5.0412581684625497</v>
      </c>
      <c r="W23" s="28">
        <v>4.7115969502095609</v>
      </c>
      <c r="X23" s="97">
        <v>5.082109</v>
      </c>
      <c r="Y23" s="383"/>
      <c r="Z23" s="382"/>
      <c r="AA23" s="361"/>
      <c r="AB23" s="126">
        <f>(9/16)*100</f>
        <v>56.25</v>
      </c>
      <c r="AC23" s="357"/>
      <c r="AD23" s="358"/>
    </row>
    <row r="24" spans="1:30" ht="12.75" customHeight="1" x14ac:dyDescent="0.2">
      <c r="A24" s="32" t="s">
        <v>19</v>
      </c>
      <c r="B24" s="33" t="s">
        <v>24</v>
      </c>
      <c r="C24" s="33" t="s">
        <v>25</v>
      </c>
      <c r="D24" s="100">
        <v>601</v>
      </c>
      <c r="E24" s="34">
        <v>16010</v>
      </c>
      <c r="F24" s="35">
        <v>500</v>
      </c>
      <c r="G24" s="36">
        <v>5</v>
      </c>
      <c r="H24" s="71"/>
      <c r="I24" s="27">
        <v>6.5586778377785828</v>
      </c>
      <c r="J24" s="27">
        <v>6.073504652652999</v>
      </c>
      <c r="K24" s="27">
        <v>5.5264116380534238</v>
      </c>
      <c r="L24" s="27">
        <v>6.7952741378353299</v>
      </c>
      <c r="M24" s="27">
        <v>5.2011697601581455</v>
      </c>
      <c r="N24" s="27">
        <v>4.9679355790696551</v>
      </c>
      <c r="O24" s="27">
        <v>4.6823431643074001</v>
      </c>
      <c r="P24" s="27">
        <v>4.6928193935813489</v>
      </c>
      <c r="Q24" s="27">
        <v>6.1935682220071246</v>
      </c>
      <c r="R24" s="27">
        <v>6.4778659397003731</v>
      </c>
      <c r="S24" s="27">
        <v>4.3227430731635099</v>
      </c>
      <c r="T24" s="27">
        <v>7.0311338743496501</v>
      </c>
      <c r="U24" s="27">
        <v>5.6720142922916175</v>
      </c>
      <c r="V24" s="27">
        <v>6.0600848588107672</v>
      </c>
      <c r="W24" s="27">
        <v>5.5353620973569608</v>
      </c>
      <c r="X24" s="96">
        <v>5.7193940000000003</v>
      </c>
      <c r="Y24" s="365">
        <v>5.1749729999999996</v>
      </c>
      <c r="Z24" s="377">
        <v>5.1749999999999998</v>
      </c>
      <c r="AA24" s="362" t="s">
        <v>87</v>
      </c>
      <c r="AB24" s="126">
        <f>(11/15)*100</f>
        <v>73.333333333333329</v>
      </c>
      <c r="AC24" s="357">
        <f>(24/45)*100</f>
        <v>53.333333333333336</v>
      </c>
      <c r="AD24" s="358">
        <f>(24/45)*100</f>
        <v>53.333333333333336</v>
      </c>
    </row>
    <row r="25" spans="1:30" ht="12.75" customHeight="1" x14ac:dyDescent="0.2">
      <c r="A25" s="37" t="s">
        <v>19</v>
      </c>
      <c r="B25" s="15" t="s">
        <v>24</v>
      </c>
      <c r="C25" s="15" t="s">
        <v>25</v>
      </c>
      <c r="D25" s="100">
        <v>601</v>
      </c>
      <c r="E25" s="11">
        <v>26010</v>
      </c>
      <c r="F25" s="12">
        <v>926</v>
      </c>
      <c r="G25" s="9">
        <v>16</v>
      </c>
      <c r="H25" s="72"/>
      <c r="I25" s="28">
        <v>5.1848974295259396</v>
      </c>
      <c r="J25" s="28">
        <v>6.0099463227952983</v>
      </c>
      <c r="K25" s="28">
        <v>4.5788320933793836</v>
      </c>
      <c r="L25" s="28">
        <v>6.5970502934844806</v>
      </c>
      <c r="M25" s="28">
        <v>5.222393236365261</v>
      </c>
      <c r="N25" s="28">
        <v>4.4211672057573548</v>
      </c>
      <c r="O25" s="28">
        <v>4.2561739173542614</v>
      </c>
      <c r="P25" s="28">
        <v>4.4978920003030112</v>
      </c>
      <c r="Q25" s="28">
        <v>4.6067505326557106</v>
      </c>
      <c r="R25" s="28">
        <v>5.5824279075666752</v>
      </c>
      <c r="S25" s="28">
        <v>3.5444372143690739</v>
      </c>
      <c r="T25" s="28">
        <v>5.4972819104316217</v>
      </c>
      <c r="U25" s="28">
        <v>5.845168939213166</v>
      </c>
      <c r="V25" s="28">
        <v>5.3957116552873066</v>
      </c>
      <c r="W25" s="28">
        <v>4.9930888908626931</v>
      </c>
      <c r="X25" s="96">
        <v>5.0822149999999997</v>
      </c>
      <c r="Y25" s="378"/>
      <c r="Z25" s="377"/>
      <c r="AA25" s="363"/>
      <c r="AB25" s="126">
        <f>(8/15)*100</f>
        <v>53.333333333333336</v>
      </c>
      <c r="AC25" s="357"/>
      <c r="AD25" s="358"/>
    </row>
    <row r="26" spans="1:30" ht="12.75" customHeight="1" x14ac:dyDescent="0.2">
      <c r="A26" s="38" t="s">
        <v>19</v>
      </c>
      <c r="B26" s="39" t="s">
        <v>24</v>
      </c>
      <c r="C26" s="39" t="s">
        <v>25</v>
      </c>
      <c r="D26" s="102">
        <v>601</v>
      </c>
      <c r="E26" s="40">
        <v>36010</v>
      </c>
      <c r="F26" s="41">
        <v>3704</v>
      </c>
      <c r="G26" s="42">
        <v>27</v>
      </c>
      <c r="H26" s="73"/>
      <c r="I26" s="29">
        <v>5.7253899250687814</v>
      </c>
      <c r="J26" s="29">
        <v>5.7486687863898283</v>
      </c>
      <c r="K26" s="29">
        <v>3.8260858679296517</v>
      </c>
      <c r="L26" s="29">
        <v>6.9211407490379546</v>
      </c>
      <c r="M26" s="29">
        <v>3.9560161040452777</v>
      </c>
      <c r="N26" s="29">
        <v>3.8104952367997846</v>
      </c>
      <c r="O26" s="29">
        <v>3.8879468183186594</v>
      </c>
      <c r="P26" s="29">
        <v>2.2962051568014554</v>
      </c>
      <c r="Q26" s="29">
        <v>4.2562957227480114</v>
      </c>
      <c r="R26" s="29">
        <v>6.1490185245073121</v>
      </c>
      <c r="S26" s="29">
        <v>3.7544066308799335</v>
      </c>
      <c r="T26" s="29">
        <v>4.9535020914852694</v>
      </c>
      <c r="U26" s="29">
        <v>4.8453571800108071</v>
      </c>
      <c r="V26" s="29">
        <v>5.7322877622570658</v>
      </c>
      <c r="W26" s="29">
        <v>4.986859686059252</v>
      </c>
      <c r="X26" s="93">
        <v>4.723312</v>
      </c>
      <c r="Y26" s="379"/>
      <c r="Z26" s="377"/>
      <c r="AA26" s="364"/>
      <c r="AB26" s="126">
        <f>(5/15)*100</f>
        <v>33.333333333333329</v>
      </c>
      <c r="AC26" s="357"/>
      <c r="AD26" s="358"/>
    </row>
    <row r="27" spans="1:30" ht="26.25" customHeight="1" x14ac:dyDescent="0.2">
      <c r="D27" s="100"/>
      <c r="Y27" s="128"/>
      <c r="Z27" s="352" t="s">
        <v>86</v>
      </c>
      <c r="AA27" s="352"/>
      <c r="AB27" s="352"/>
      <c r="AC27" s="352"/>
      <c r="AD27" s="352"/>
    </row>
    <row r="28" spans="1:30" x14ac:dyDescent="0.2">
      <c r="D28" s="100"/>
    </row>
    <row r="29" spans="1:30" x14ac:dyDescent="0.2">
      <c r="D29" s="100"/>
    </row>
    <row r="33" spans="2:4" x14ac:dyDescent="0.2">
      <c r="B33" s="5"/>
      <c r="D33" s="100"/>
    </row>
    <row r="34" spans="2:4" x14ac:dyDescent="0.2">
      <c r="B34" s="5"/>
      <c r="D34" s="100"/>
    </row>
    <row r="35" spans="2:4" x14ac:dyDescent="0.2">
      <c r="B35" s="5"/>
      <c r="D35" s="100"/>
    </row>
    <row r="36" spans="2:4" x14ac:dyDescent="0.2">
      <c r="B36" s="5"/>
      <c r="D36" s="100"/>
    </row>
    <row r="37" spans="2:4" x14ac:dyDescent="0.2">
      <c r="B37" s="5"/>
      <c r="D37" s="100"/>
    </row>
    <row r="38" spans="2:4" x14ac:dyDescent="0.2">
      <c r="B38" s="5"/>
      <c r="D38" s="100"/>
    </row>
  </sheetData>
  <mergeCells count="31">
    <mergeCell ref="AB1:AD1"/>
    <mergeCell ref="X1:Z1"/>
    <mergeCell ref="AA3:AA11"/>
    <mergeCell ref="AA12:AA17"/>
    <mergeCell ref="Y15:Y17"/>
    <mergeCell ref="AD12:AD17"/>
    <mergeCell ref="AD3:AD11"/>
    <mergeCell ref="Y6:Y8"/>
    <mergeCell ref="AC12:AC14"/>
    <mergeCell ref="Y24:Y26"/>
    <mergeCell ref="AA18:AA23"/>
    <mergeCell ref="Z18:Z23"/>
    <mergeCell ref="AC6:AC8"/>
    <mergeCell ref="AC24:AC26"/>
    <mergeCell ref="Y21:Y23"/>
    <mergeCell ref="AC21:AC23"/>
    <mergeCell ref="Y9:Y11"/>
    <mergeCell ref="Y12:Y14"/>
    <mergeCell ref="AC15:AC17"/>
    <mergeCell ref="Y18:Y20"/>
    <mergeCell ref="Z3:Z11"/>
    <mergeCell ref="AC9:AC11"/>
    <mergeCell ref="Y3:Y5"/>
    <mergeCell ref="Z12:Z17"/>
    <mergeCell ref="AC3:AC5"/>
    <mergeCell ref="AD24:AD26"/>
    <mergeCell ref="AC18:AC20"/>
    <mergeCell ref="AD18:AD23"/>
    <mergeCell ref="AA24:AA26"/>
    <mergeCell ref="Z27:AD27"/>
    <mergeCell ref="Z24:Z26"/>
  </mergeCells>
  <phoneticPr fontId="4" type="noConversion"/>
  <pageMargins left="0.75" right="0.75" top="1" bottom="1" header="0.5" footer="0.5"/>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38"/>
  <sheetViews>
    <sheetView topLeftCell="T1" workbookViewId="0">
      <selection activeCell="AB3" sqref="AB3:AD26"/>
    </sheetView>
  </sheetViews>
  <sheetFormatPr defaultRowHeight="12.75" x14ac:dyDescent="0.2"/>
  <cols>
    <col min="1" max="1" width="5.7109375" style="12" customWidth="1"/>
    <col min="2" max="2" width="22.85546875" style="15" bestFit="1" customWidth="1"/>
    <col min="3" max="3" width="38" style="15" bestFit="1" customWidth="1"/>
    <col min="4" max="4" width="10.42578125" style="15" customWidth="1"/>
    <col min="5" max="5" width="16.28515625" style="12" customWidth="1"/>
    <col min="6" max="6" width="14.140625" style="15" customWidth="1"/>
    <col min="7" max="7" width="11.28515625" style="15" bestFit="1" customWidth="1"/>
    <col min="8" max="18" width="9.140625" style="15"/>
    <col min="19" max="19" width="11.28515625" style="15" customWidth="1"/>
    <col min="20" max="20" width="11.7109375" style="15" customWidth="1"/>
    <col min="21" max="21" width="9.140625" style="15"/>
    <col min="22" max="22" width="10.5703125" style="15" customWidth="1"/>
    <col min="23" max="23" width="10.7109375" style="15" customWidth="1"/>
    <col min="24" max="24" width="13" style="15" customWidth="1"/>
    <col min="25" max="25" width="12.5703125" style="15" customWidth="1"/>
    <col min="26" max="26" width="15.28515625" style="15" bestFit="1" customWidth="1"/>
    <col min="27" max="27" width="19" style="15" customWidth="1"/>
    <col min="28" max="30" width="16.42578125" style="15" customWidth="1"/>
    <col min="31" max="16384" width="9.140625" style="15"/>
  </cols>
  <sheetData>
    <row r="1" spans="1:30" ht="30.75" customHeight="1" thickBot="1" x14ac:dyDescent="0.25">
      <c r="X1" s="371" t="s">
        <v>90</v>
      </c>
      <c r="Y1" s="371"/>
      <c r="Z1" s="371"/>
      <c r="AB1" s="371" t="s">
        <v>94</v>
      </c>
      <c r="AC1" s="371"/>
      <c r="AD1" s="371"/>
    </row>
    <row r="2" spans="1:30" s="10" customFormat="1" ht="46.5" customHeight="1" thickBot="1" x14ac:dyDescent="0.25">
      <c r="A2" s="1" t="s">
        <v>0</v>
      </c>
      <c r="B2" s="2" t="s">
        <v>1</v>
      </c>
      <c r="C2" s="1" t="s">
        <v>2</v>
      </c>
      <c r="D2" s="3" t="s">
        <v>89</v>
      </c>
      <c r="E2" s="3" t="s">
        <v>3</v>
      </c>
      <c r="F2" s="1" t="s">
        <v>4</v>
      </c>
      <c r="G2" s="1" t="s">
        <v>5</v>
      </c>
      <c r="H2" s="3" t="s">
        <v>28</v>
      </c>
      <c r="I2" s="3" t="s">
        <v>29</v>
      </c>
      <c r="J2" s="3" t="s">
        <v>30</v>
      </c>
      <c r="K2" s="3" t="s">
        <v>31</v>
      </c>
      <c r="L2" s="3" t="s">
        <v>45</v>
      </c>
      <c r="M2" s="3" t="s">
        <v>35</v>
      </c>
      <c r="N2" s="3" t="s">
        <v>36</v>
      </c>
      <c r="O2" s="3" t="s">
        <v>34</v>
      </c>
      <c r="P2" s="3" t="s">
        <v>37</v>
      </c>
      <c r="Q2" s="3" t="s">
        <v>38</v>
      </c>
      <c r="R2" s="3" t="s">
        <v>39</v>
      </c>
      <c r="S2" s="3" t="s">
        <v>40</v>
      </c>
      <c r="T2" s="3" t="s">
        <v>41</v>
      </c>
      <c r="U2" s="3" t="s">
        <v>42</v>
      </c>
      <c r="V2" s="3" t="s">
        <v>43</v>
      </c>
      <c r="W2" s="24" t="s">
        <v>44</v>
      </c>
      <c r="X2" s="78" t="s">
        <v>71</v>
      </c>
      <c r="Y2" s="79" t="s">
        <v>72</v>
      </c>
      <c r="Z2" s="79" t="s">
        <v>80</v>
      </c>
      <c r="AA2" s="80" t="s">
        <v>85</v>
      </c>
      <c r="AB2" s="123" t="s">
        <v>91</v>
      </c>
      <c r="AC2" s="123" t="s">
        <v>92</v>
      </c>
      <c r="AD2" s="123" t="s">
        <v>93</v>
      </c>
    </row>
    <row r="3" spans="1:30" s="14" customFormat="1" x14ac:dyDescent="0.2">
      <c r="A3" s="4" t="s">
        <v>6</v>
      </c>
      <c r="B3" s="4" t="s">
        <v>9</v>
      </c>
      <c r="C3" s="4" t="s">
        <v>46</v>
      </c>
      <c r="D3" s="101">
        <v>8</v>
      </c>
      <c r="E3" s="7">
        <v>10080</v>
      </c>
      <c r="F3" s="12">
        <v>500</v>
      </c>
      <c r="G3" s="13">
        <v>2</v>
      </c>
      <c r="H3" s="22">
        <v>5.2981179999999997</v>
      </c>
      <c r="I3" s="22">
        <v>4.0281789999999997</v>
      </c>
      <c r="J3" s="22">
        <v>3.1374439999999999</v>
      </c>
      <c r="K3" s="22">
        <v>2.856716</v>
      </c>
      <c r="L3" s="22">
        <v>5.436178</v>
      </c>
      <c r="M3" s="22">
        <v>4.3124130000000003</v>
      </c>
      <c r="N3" s="22">
        <v>4.8114879999999998</v>
      </c>
      <c r="O3" s="22">
        <v>3.9627150000000002</v>
      </c>
      <c r="P3" s="22">
        <v>4.3554269999999997</v>
      </c>
      <c r="Q3" s="22">
        <v>2.9918429999999998</v>
      </c>
      <c r="R3" s="22">
        <v>4.0257100000000001</v>
      </c>
      <c r="S3" s="22">
        <v>3.4527779999999999</v>
      </c>
      <c r="T3" s="22">
        <v>4.343858</v>
      </c>
      <c r="U3" s="22">
        <v>3.8791799999999999</v>
      </c>
      <c r="V3" s="22">
        <v>4.5220089999999997</v>
      </c>
      <c r="W3" s="22">
        <v>3.3377050000000001</v>
      </c>
      <c r="X3" s="84">
        <v>4.0469850000000003</v>
      </c>
      <c r="Y3" s="386">
        <v>3.9609999999999999</v>
      </c>
      <c r="Z3" s="389">
        <v>4.2140000000000004</v>
      </c>
      <c r="AA3" s="359" t="s">
        <v>82</v>
      </c>
      <c r="AB3" s="126">
        <f>(2/16)*100</f>
        <v>12.5</v>
      </c>
      <c r="AC3" s="357">
        <f>(4/48)*100</f>
        <v>8.3333333333333321</v>
      </c>
      <c r="AD3" s="358">
        <f>(22/144)*100</f>
        <v>15.277777777777779</v>
      </c>
    </row>
    <row r="4" spans="1:30" s="14" customFormat="1" x14ac:dyDescent="0.2">
      <c r="A4" s="4" t="s">
        <v>6</v>
      </c>
      <c r="B4" s="4" t="s">
        <v>9</v>
      </c>
      <c r="C4" s="4" t="s">
        <v>46</v>
      </c>
      <c r="D4" s="100">
        <v>8</v>
      </c>
      <c r="E4" s="7">
        <v>20080</v>
      </c>
      <c r="F4" s="12">
        <v>926</v>
      </c>
      <c r="G4" s="13">
        <v>4.5</v>
      </c>
      <c r="H4" s="22">
        <v>5.6081469999999998</v>
      </c>
      <c r="I4" s="22">
        <v>4.3858620000000004</v>
      </c>
      <c r="J4" s="22">
        <v>2.6326010000000002</v>
      </c>
      <c r="K4" s="22">
        <v>2.931165</v>
      </c>
      <c r="L4" s="22">
        <v>5.4590329999999998</v>
      </c>
      <c r="M4" s="22">
        <v>3.710413</v>
      </c>
      <c r="N4" s="22">
        <v>4.6766839999999998</v>
      </c>
      <c r="O4" s="22">
        <v>4.0304149999999996</v>
      </c>
      <c r="P4" s="22">
        <v>4.2116400000000001</v>
      </c>
      <c r="Q4" s="22">
        <v>3.404585</v>
      </c>
      <c r="R4" s="22">
        <v>3.9608490000000001</v>
      </c>
      <c r="S4" s="22">
        <v>3.6805560000000002</v>
      </c>
      <c r="T4" s="22">
        <v>3.95519</v>
      </c>
      <c r="U4" s="22">
        <v>3.6495449999999998</v>
      </c>
      <c r="V4" s="22">
        <v>4.7804130000000002</v>
      </c>
      <c r="W4" s="22">
        <v>3.0722550000000002</v>
      </c>
      <c r="X4" s="85">
        <v>4.0093350000000001</v>
      </c>
      <c r="Y4" s="387"/>
      <c r="Z4" s="390"/>
      <c r="AA4" s="360"/>
      <c r="AB4" s="126">
        <f>(2/16)*100</f>
        <v>12.5</v>
      </c>
      <c r="AC4" s="357"/>
      <c r="AD4" s="358"/>
    </row>
    <row r="5" spans="1:30" s="14" customFormat="1" x14ac:dyDescent="0.2">
      <c r="A5" s="4" t="s">
        <v>6</v>
      </c>
      <c r="B5" s="4" t="s">
        <v>9</v>
      </c>
      <c r="C5" s="4" t="s">
        <v>46</v>
      </c>
      <c r="D5" s="102">
        <v>8</v>
      </c>
      <c r="E5" s="7">
        <v>30080</v>
      </c>
      <c r="F5" s="12">
        <v>3704</v>
      </c>
      <c r="G5" s="13">
        <v>13</v>
      </c>
      <c r="H5" s="22">
        <v>4.7093999999999996</v>
      </c>
      <c r="I5" s="22">
        <v>4.2491310000000002</v>
      </c>
      <c r="J5" s="22">
        <v>2.7780939999999998</v>
      </c>
      <c r="K5" s="22">
        <v>3.7348140000000001</v>
      </c>
      <c r="L5" s="22">
        <v>4.8291760000000004</v>
      </c>
      <c r="M5" s="22">
        <v>3.494164</v>
      </c>
      <c r="N5" s="22">
        <v>3.6807590000000001</v>
      </c>
      <c r="O5" s="22">
        <v>4.2519609999999997</v>
      </c>
      <c r="P5" s="22">
        <v>3.9307530000000002</v>
      </c>
      <c r="Q5" s="22">
        <v>3.4007830000000001</v>
      </c>
      <c r="R5" s="22">
        <v>3.1416110000000002</v>
      </c>
      <c r="S5" s="22">
        <v>3.4577589999999998</v>
      </c>
      <c r="T5" s="22">
        <v>3.941954</v>
      </c>
      <c r="U5" s="22">
        <v>3.4958589999999998</v>
      </c>
      <c r="V5" s="22">
        <v>4.5793189999999999</v>
      </c>
      <c r="W5" s="22">
        <v>3.5653800000000002</v>
      </c>
      <c r="X5" s="87">
        <v>3.8275570000000001</v>
      </c>
      <c r="Y5" s="387"/>
      <c r="Z5" s="390"/>
      <c r="AA5" s="360"/>
      <c r="AB5" s="126">
        <f>(0/16)*100</f>
        <v>0</v>
      </c>
      <c r="AC5" s="357"/>
      <c r="AD5" s="358"/>
    </row>
    <row r="6" spans="1:30" s="14" customFormat="1" x14ac:dyDescent="0.2">
      <c r="A6" s="32" t="s">
        <v>6</v>
      </c>
      <c r="B6" s="50" t="s">
        <v>12</v>
      </c>
      <c r="C6" s="50" t="s">
        <v>47</v>
      </c>
      <c r="D6" s="101">
        <v>24</v>
      </c>
      <c r="E6" s="47">
        <v>10240</v>
      </c>
      <c r="F6" s="35">
        <v>500</v>
      </c>
      <c r="G6" s="44">
        <v>2.5</v>
      </c>
      <c r="H6" s="27">
        <v>5.1885680000000001</v>
      </c>
      <c r="I6" s="27">
        <v>4.1796689999999996</v>
      </c>
      <c r="J6" s="27">
        <v>4.0173449999999997</v>
      </c>
      <c r="K6" s="27">
        <v>2.7254529999999999</v>
      </c>
      <c r="L6" s="27">
        <v>3.7318150000000001</v>
      </c>
      <c r="M6" s="27">
        <v>4.7388919999999999</v>
      </c>
      <c r="N6" s="27">
        <v>6.1161919999999999</v>
      </c>
      <c r="O6" s="27">
        <v>5.0670440000000001</v>
      </c>
      <c r="P6" s="27">
        <v>5.3045710000000001</v>
      </c>
      <c r="Q6" s="27">
        <v>5.1790060000000002</v>
      </c>
      <c r="R6" s="27">
        <v>4.1815610000000003</v>
      </c>
      <c r="S6" s="27">
        <v>3.2628330000000001</v>
      </c>
      <c r="T6" s="27">
        <v>4.3921219999999996</v>
      </c>
      <c r="U6" s="27">
        <v>4.0061780000000002</v>
      </c>
      <c r="V6" s="27">
        <v>5.0020290000000003</v>
      </c>
      <c r="W6" s="27">
        <v>3.6053980000000001</v>
      </c>
      <c r="X6" s="85">
        <v>4.4186670000000001</v>
      </c>
      <c r="Y6" s="368">
        <v>4.3899999999999997</v>
      </c>
      <c r="Z6" s="390"/>
      <c r="AA6" s="360"/>
      <c r="AB6" s="126">
        <f>(6/16)*100</f>
        <v>37.5</v>
      </c>
      <c r="AC6" s="357">
        <f>(13/48)*100</f>
        <v>27.083333333333332</v>
      </c>
      <c r="AD6" s="358"/>
    </row>
    <row r="7" spans="1:30" s="14" customFormat="1" x14ac:dyDescent="0.2">
      <c r="A7" s="37" t="s">
        <v>6</v>
      </c>
      <c r="B7" s="4" t="s">
        <v>12</v>
      </c>
      <c r="C7" s="4" t="s">
        <v>47</v>
      </c>
      <c r="D7" s="100">
        <v>24</v>
      </c>
      <c r="E7" s="7">
        <v>20240</v>
      </c>
      <c r="F7" s="12">
        <v>926</v>
      </c>
      <c r="G7" s="13">
        <v>6.5</v>
      </c>
      <c r="H7" s="28">
        <v>5.2349909999999999</v>
      </c>
      <c r="I7" s="28">
        <v>4.5435040000000004</v>
      </c>
      <c r="J7" s="28">
        <v>4.5411570000000001</v>
      </c>
      <c r="K7" s="28">
        <v>3.225911</v>
      </c>
      <c r="L7" s="28">
        <v>3.753349</v>
      </c>
      <c r="M7" s="28">
        <v>4.6496690000000003</v>
      </c>
      <c r="N7" s="28">
        <v>5.4408349999999999</v>
      </c>
      <c r="O7" s="28">
        <v>5.0114260000000002</v>
      </c>
      <c r="P7" s="28">
        <v>5.2271830000000001</v>
      </c>
      <c r="Q7" s="28">
        <v>4.661727</v>
      </c>
      <c r="R7" s="28">
        <v>4.267468</v>
      </c>
      <c r="S7" s="28">
        <v>4.9485010000000003</v>
      </c>
      <c r="T7" s="28">
        <v>4.951676</v>
      </c>
      <c r="U7" s="28">
        <v>4.5447030000000002</v>
      </c>
      <c r="V7" s="28">
        <v>5.2531889999999999</v>
      </c>
      <c r="W7" s="28">
        <v>3.6575380000000002</v>
      </c>
      <c r="X7" s="85">
        <v>4.6195519999999997</v>
      </c>
      <c r="Y7" s="384"/>
      <c r="Z7" s="390"/>
      <c r="AA7" s="360"/>
      <c r="AB7" s="126">
        <f>(5/16)*100</f>
        <v>31.25</v>
      </c>
      <c r="AC7" s="357"/>
      <c r="AD7" s="358"/>
    </row>
    <row r="8" spans="1:30" s="14" customFormat="1" x14ac:dyDescent="0.2">
      <c r="A8" s="38" t="s">
        <v>6</v>
      </c>
      <c r="B8" s="52" t="s">
        <v>12</v>
      </c>
      <c r="C8" s="52" t="s">
        <v>47</v>
      </c>
      <c r="D8" s="102">
        <v>24</v>
      </c>
      <c r="E8" s="48">
        <v>30240</v>
      </c>
      <c r="F8" s="41">
        <v>3704</v>
      </c>
      <c r="G8" s="46">
        <v>15</v>
      </c>
      <c r="H8" s="29">
        <v>4.6774779999999998</v>
      </c>
      <c r="I8" s="29">
        <v>4.2925550000000001</v>
      </c>
      <c r="J8" s="29">
        <v>3.5830069999999998</v>
      </c>
      <c r="K8" s="29">
        <v>3.458799</v>
      </c>
      <c r="L8" s="29">
        <v>4.3597999999999999</v>
      </c>
      <c r="M8" s="29">
        <v>3.9718840000000002</v>
      </c>
      <c r="N8" s="29">
        <v>5.4096070000000003</v>
      </c>
      <c r="O8" s="29">
        <v>4.3871710000000004</v>
      </c>
      <c r="P8" s="29">
        <v>4.6793820000000004</v>
      </c>
      <c r="Q8" s="29">
        <v>3.8970069999999999</v>
      </c>
      <c r="R8" s="29">
        <v>3.6131989999999998</v>
      </c>
      <c r="S8" s="29">
        <v>2.4623339999999998</v>
      </c>
      <c r="T8" s="29">
        <v>4.2693019999999997</v>
      </c>
      <c r="U8" s="29">
        <v>3.2287219999999999</v>
      </c>
      <c r="V8" s="29">
        <v>5.4867140000000001</v>
      </c>
      <c r="W8" s="29">
        <v>4.3492150000000001</v>
      </c>
      <c r="X8" s="85">
        <v>4.1328860000000001</v>
      </c>
      <c r="Y8" s="385"/>
      <c r="Z8" s="390"/>
      <c r="AA8" s="360"/>
      <c r="AB8" s="126">
        <f>(2/16)*100</f>
        <v>12.5</v>
      </c>
      <c r="AC8" s="357"/>
      <c r="AD8" s="358"/>
    </row>
    <row r="9" spans="1:30" s="14" customFormat="1" x14ac:dyDescent="0.2">
      <c r="A9" s="32" t="s">
        <v>6</v>
      </c>
      <c r="B9" s="49" t="s">
        <v>13</v>
      </c>
      <c r="C9" s="50" t="s">
        <v>48</v>
      </c>
      <c r="D9" s="101">
        <v>40</v>
      </c>
      <c r="E9" s="47">
        <v>10400</v>
      </c>
      <c r="F9" s="35">
        <v>500</v>
      </c>
      <c r="G9" s="44">
        <v>3</v>
      </c>
      <c r="H9" s="27">
        <v>5.1971470000000002</v>
      </c>
      <c r="I9" s="27">
        <v>3.189629</v>
      </c>
      <c r="J9" s="27">
        <v>4.9678370000000003</v>
      </c>
      <c r="K9" s="27">
        <v>3.8665210000000001</v>
      </c>
      <c r="L9" s="27">
        <v>3.3802080000000001</v>
      </c>
      <c r="M9" s="27">
        <v>4.4810030000000003</v>
      </c>
      <c r="N9" s="27">
        <v>5.8962149999999998</v>
      </c>
      <c r="O9" s="27">
        <v>4.6322089999999996</v>
      </c>
      <c r="P9" s="27">
        <v>4.899915</v>
      </c>
      <c r="Q9" s="27">
        <v>4.3222680000000002</v>
      </c>
      <c r="R9" s="27">
        <v>3.7349320000000001</v>
      </c>
      <c r="S9" s="27">
        <v>4.4225279999999998</v>
      </c>
      <c r="T9" s="27">
        <v>4.8113999999999999</v>
      </c>
      <c r="U9" s="27">
        <v>4.6971749999999997</v>
      </c>
      <c r="V9" s="27">
        <v>5.9277600000000001</v>
      </c>
      <c r="W9" s="27">
        <v>3.776662</v>
      </c>
      <c r="X9" s="85">
        <v>4.5127129999999998</v>
      </c>
      <c r="Y9" s="368">
        <v>4.2889999999999997</v>
      </c>
      <c r="Z9" s="390"/>
      <c r="AA9" s="360"/>
      <c r="AB9" s="126">
        <f>(3/16)*100</f>
        <v>18.75</v>
      </c>
      <c r="AC9" s="357">
        <f>(5/48)*100</f>
        <v>10.416666666666668</v>
      </c>
      <c r="AD9" s="358"/>
    </row>
    <row r="10" spans="1:30" s="14" customFormat="1" x14ac:dyDescent="0.2">
      <c r="A10" s="37" t="s">
        <v>6</v>
      </c>
      <c r="B10" s="6" t="s">
        <v>13</v>
      </c>
      <c r="C10" s="4" t="s">
        <v>48</v>
      </c>
      <c r="D10" s="100">
        <v>40</v>
      </c>
      <c r="E10" s="7">
        <v>20400</v>
      </c>
      <c r="F10" s="12">
        <v>926</v>
      </c>
      <c r="G10" s="13">
        <v>6.5</v>
      </c>
      <c r="H10" s="28">
        <v>4.8339509999999999</v>
      </c>
      <c r="I10" s="28">
        <v>2.13714</v>
      </c>
      <c r="J10" s="28">
        <v>4.8679589999999999</v>
      </c>
      <c r="K10" s="28">
        <v>3.7996949999999998</v>
      </c>
      <c r="L10" s="28">
        <v>3.9987680000000001</v>
      </c>
      <c r="M10" s="28">
        <v>4.4419760000000004</v>
      </c>
      <c r="N10" s="28">
        <v>4.5194270000000003</v>
      </c>
      <c r="O10" s="28">
        <v>4.4209839999999998</v>
      </c>
      <c r="P10" s="28">
        <v>4.2706470000000003</v>
      </c>
      <c r="Q10" s="28">
        <v>3.6515300000000002</v>
      </c>
      <c r="R10" s="28">
        <v>3.9867140000000001</v>
      </c>
      <c r="S10" s="28">
        <v>4.1987220000000001</v>
      </c>
      <c r="T10" s="28">
        <v>4.9643750000000004</v>
      </c>
      <c r="U10" s="28">
        <v>4.5505979999999999</v>
      </c>
      <c r="V10" s="28">
        <v>5.5677690000000002</v>
      </c>
      <c r="W10" s="28">
        <v>3.7895910000000002</v>
      </c>
      <c r="X10" s="85">
        <v>4.2499900000000004</v>
      </c>
      <c r="Y10" s="384"/>
      <c r="Z10" s="390"/>
      <c r="AA10" s="360"/>
      <c r="AB10" s="126">
        <f t="shared" ref="AB10:AB15" si="0">(1/16)*100</f>
        <v>6.25</v>
      </c>
      <c r="AC10" s="357"/>
      <c r="AD10" s="358"/>
    </row>
    <row r="11" spans="1:30" s="14" customFormat="1" x14ac:dyDescent="0.2">
      <c r="A11" s="38" t="s">
        <v>6</v>
      </c>
      <c r="B11" s="51" t="s">
        <v>13</v>
      </c>
      <c r="C11" s="52" t="s">
        <v>48</v>
      </c>
      <c r="D11" s="102">
        <v>40</v>
      </c>
      <c r="E11" s="48">
        <v>30400</v>
      </c>
      <c r="F11" s="41">
        <v>3704</v>
      </c>
      <c r="G11" s="46">
        <v>13</v>
      </c>
      <c r="H11" s="29">
        <v>4.9596070000000001</v>
      </c>
      <c r="I11" s="29">
        <v>3.7091959999999999</v>
      </c>
      <c r="J11" s="29">
        <v>4.7786929999999996</v>
      </c>
      <c r="K11" s="29">
        <v>3.7666360000000001</v>
      </c>
      <c r="L11" s="29">
        <v>4.2474759999999998</v>
      </c>
      <c r="M11" s="29">
        <v>3.9695339999999999</v>
      </c>
      <c r="N11" s="29">
        <v>3.23983</v>
      </c>
      <c r="O11" s="29">
        <v>4.2317169999999997</v>
      </c>
      <c r="P11" s="29">
        <v>3.927416</v>
      </c>
      <c r="Q11" s="29">
        <v>3.5214080000000001</v>
      </c>
      <c r="R11" s="29">
        <v>4.2150369999999997</v>
      </c>
      <c r="S11" s="29">
        <v>3.9373499999999999</v>
      </c>
      <c r="T11" s="29">
        <v>3.3613400000000002</v>
      </c>
      <c r="U11" s="29">
        <v>4.0071339999999998</v>
      </c>
      <c r="V11" s="29">
        <v>5.1838119999999996</v>
      </c>
      <c r="W11" s="29">
        <v>4.6151390000000001</v>
      </c>
      <c r="X11" s="85">
        <v>4.1044580000000002</v>
      </c>
      <c r="Y11" s="385"/>
      <c r="Z11" s="391"/>
      <c r="AA11" s="361"/>
      <c r="AB11" s="126">
        <f t="shared" si="0"/>
        <v>6.25</v>
      </c>
      <c r="AC11" s="357"/>
      <c r="AD11" s="358"/>
    </row>
    <row r="12" spans="1:30" s="14" customFormat="1" x14ac:dyDescent="0.2">
      <c r="A12" s="32" t="s">
        <v>6</v>
      </c>
      <c r="B12" s="43" t="s">
        <v>50</v>
      </c>
      <c r="C12" s="43" t="s">
        <v>51</v>
      </c>
      <c r="D12" s="100">
        <v>53</v>
      </c>
      <c r="E12" s="47">
        <v>10530</v>
      </c>
      <c r="F12" s="35">
        <v>500</v>
      </c>
      <c r="G12" s="44">
        <v>5</v>
      </c>
      <c r="H12" s="27">
        <v>5.2284810000000004</v>
      </c>
      <c r="I12" s="27">
        <v>4.0224869999999999</v>
      </c>
      <c r="J12" s="27">
        <v>4.45519</v>
      </c>
      <c r="K12" s="27">
        <v>3.4354879999999999</v>
      </c>
      <c r="L12" s="27">
        <v>3.8621409999999998</v>
      </c>
      <c r="M12" s="27">
        <v>3.8530389999999999</v>
      </c>
      <c r="N12" s="27">
        <v>3.0405850000000001</v>
      </c>
      <c r="O12" s="27">
        <v>4.0595039999999996</v>
      </c>
      <c r="P12" s="27">
        <v>3.8983270000000001</v>
      </c>
      <c r="Q12" s="27">
        <v>2.7274370000000001</v>
      </c>
      <c r="R12" s="27">
        <v>4.338209</v>
      </c>
      <c r="S12" s="27">
        <v>3.9783780000000002</v>
      </c>
      <c r="T12" s="27">
        <v>2.7422390000000001</v>
      </c>
      <c r="U12" s="27">
        <v>3.8086829999999998</v>
      </c>
      <c r="V12" s="27">
        <v>4.0551820000000003</v>
      </c>
      <c r="W12" s="27">
        <v>3.8429419999999999</v>
      </c>
      <c r="X12" s="88">
        <v>3.8342700000000001</v>
      </c>
      <c r="Y12" s="386">
        <v>3.9380000000000002</v>
      </c>
      <c r="Z12" s="396">
        <v>3.9289999999999998</v>
      </c>
      <c r="AA12" s="359" t="s">
        <v>83</v>
      </c>
      <c r="AB12" s="126">
        <f t="shared" si="0"/>
        <v>6.25</v>
      </c>
      <c r="AC12" s="357">
        <f>(3/48)*100</f>
        <v>6.25</v>
      </c>
      <c r="AD12" s="358">
        <f>(4/96)*100</f>
        <v>4.1666666666666661</v>
      </c>
    </row>
    <row r="13" spans="1:30" s="14" customFormat="1" x14ac:dyDescent="0.2">
      <c r="A13" s="37" t="s">
        <v>6</v>
      </c>
      <c r="B13" s="14" t="s">
        <v>50</v>
      </c>
      <c r="C13" s="14" t="s">
        <v>51</v>
      </c>
      <c r="D13" s="100">
        <v>53</v>
      </c>
      <c r="E13" s="7">
        <v>20530</v>
      </c>
      <c r="F13" s="12">
        <v>926</v>
      </c>
      <c r="G13" s="13">
        <v>6</v>
      </c>
      <c r="H13" s="28">
        <v>5.3908490000000002</v>
      </c>
      <c r="I13" s="28">
        <v>3.9919989999999999</v>
      </c>
      <c r="J13" s="28">
        <v>4.838679</v>
      </c>
      <c r="K13" s="28">
        <v>3.3631530000000001</v>
      </c>
      <c r="L13" s="28">
        <v>4.1280679999999998</v>
      </c>
      <c r="M13" s="28">
        <v>3.9715549999999999</v>
      </c>
      <c r="N13" s="28">
        <v>3.2494909999999999</v>
      </c>
      <c r="O13" s="28">
        <v>4.1212739999999997</v>
      </c>
      <c r="P13" s="28">
        <v>4.163583</v>
      </c>
      <c r="Q13" s="28">
        <v>3.4318499999999998</v>
      </c>
      <c r="R13" s="28">
        <v>3.7534339999999999</v>
      </c>
      <c r="S13" s="28">
        <v>4.0914720000000004</v>
      </c>
      <c r="T13" s="28">
        <v>2.875623</v>
      </c>
      <c r="U13" s="28">
        <v>4.1396240000000004</v>
      </c>
      <c r="V13" s="28">
        <v>3.168145</v>
      </c>
      <c r="W13" s="28">
        <v>3.8942410000000001</v>
      </c>
      <c r="X13" s="88">
        <v>3.9108149999999999</v>
      </c>
      <c r="Y13" s="387"/>
      <c r="Z13" s="397"/>
      <c r="AA13" s="360"/>
      <c r="AB13" s="126">
        <f t="shared" si="0"/>
        <v>6.25</v>
      </c>
      <c r="AC13" s="357"/>
      <c r="AD13" s="358"/>
    </row>
    <row r="14" spans="1:30" s="14" customFormat="1" x14ac:dyDescent="0.2">
      <c r="A14" s="38" t="s">
        <v>6</v>
      </c>
      <c r="B14" s="45" t="s">
        <v>50</v>
      </c>
      <c r="C14" s="45" t="s">
        <v>51</v>
      </c>
      <c r="D14" s="102">
        <v>53</v>
      </c>
      <c r="E14" s="48">
        <v>30530</v>
      </c>
      <c r="F14" s="41">
        <v>3704</v>
      </c>
      <c r="G14" s="46">
        <v>12</v>
      </c>
      <c r="H14" s="29">
        <v>5.2747289999999998</v>
      </c>
      <c r="I14" s="29">
        <v>3.955797</v>
      </c>
      <c r="J14" s="29">
        <v>4.7128769999999998</v>
      </c>
      <c r="K14" s="29">
        <v>3.9794100000000001</v>
      </c>
      <c r="L14" s="29">
        <v>3.9796909999999999</v>
      </c>
      <c r="M14" s="29">
        <v>4.1680970000000004</v>
      </c>
      <c r="N14" s="29">
        <v>3.6658789999999999</v>
      </c>
      <c r="O14" s="29">
        <v>4.2919530000000004</v>
      </c>
      <c r="P14" s="29">
        <v>4.3625189999999998</v>
      </c>
      <c r="Q14" s="29">
        <v>3.5026269999999999</v>
      </c>
      <c r="R14" s="29">
        <v>4.0656829999999999</v>
      </c>
      <c r="S14" s="29">
        <v>4.1378959999999996</v>
      </c>
      <c r="T14" s="29">
        <v>3.3768419999999999</v>
      </c>
      <c r="U14" s="29">
        <v>3.5842450000000001</v>
      </c>
      <c r="V14" s="29">
        <v>3.9010009999999999</v>
      </c>
      <c r="W14" s="29">
        <v>4.164981</v>
      </c>
      <c r="X14" s="85">
        <v>4.0702639999999999</v>
      </c>
      <c r="Y14" s="388"/>
      <c r="Z14" s="397"/>
      <c r="AA14" s="360"/>
      <c r="AB14" s="126">
        <f t="shared" si="0"/>
        <v>6.25</v>
      </c>
      <c r="AC14" s="357"/>
      <c r="AD14" s="358"/>
    </row>
    <row r="15" spans="1:30" s="14" customFormat="1" x14ac:dyDescent="0.2">
      <c r="A15" s="32" t="s">
        <v>6</v>
      </c>
      <c r="B15" s="43" t="s">
        <v>49</v>
      </c>
      <c r="C15" s="43" t="s">
        <v>52</v>
      </c>
      <c r="D15" s="100">
        <v>56</v>
      </c>
      <c r="E15" s="47">
        <v>10560</v>
      </c>
      <c r="F15" s="35">
        <v>500</v>
      </c>
      <c r="G15" s="44">
        <v>2.5</v>
      </c>
      <c r="H15" s="27">
        <v>5.2415719999999997</v>
      </c>
      <c r="I15" s="27">
        <v>3.6435460000000002</v>
      </c>
      <c r="J15" s="27">
        <v>3.7745869999999999</v>
      </c>
      <c r="K15" s="27">
        <v>3.9248059999999998</v>
      </c>
      <c r="L15" s="27">
        <v>4.0626439999999997</v>
      </c>
      <c r="M15" s="27">
        <v>4.2438200000000004</v>
      </c>
      <c r="N15" s="27">
        <v>3.065617</v>
      </c>
      <c r="O15" s="27">
        <v>3.917017</v>
      </c>
      <c r="P15" s="27">
        <v>4.3026090000000003</v>
      </c>
      <c r="Q15" s="27">
        <v>3.7476970000000001</v>
      </c>
      <c r="R15" s="27">
        <v>3.64777</v>
      </c>
      <c r="S15" s="27">
        <v>3.5217200000000002</v>
      </c>
      <c r="T15" s="27">
        <v>2.954707</v>
      </c>
      <c r="U15" s="27">
        <v>3.944626</v>
      </c>
      <c r="V15" s="27">
        <v>3.9081730000000001</v>
      </c>
      <c r="W15" s="27">
        <v>4.4139989999999996</v>
      </c>
      <c r="X15" s="88">
        <v>3.894682</v>
      </c>
      <c r="Y15" s="386">
        <v>3.92</v>
      </c>
      <c r="Z15" s="397"/>
      <c r="AA15" s="360"/>
      <c r="AB15" s="126">
        <f t="shared" si="0"/>
        <v>6.25</v>
      </c>
      <c r="AC15" s="357">
        <f>(1/48)*100</f>
        <v>2.083333333333333</v>
      </c>
      <c r="AD15" s="358"/>
    </row>
    <row r="16" spans="1:30" s="14" customFormat="1" x14ac:dyDescent="0.2">
      <c r="A16" s="37" t="s">
        <v>6</v>
      </c>
      <c r="B16" s="14" t="s">
        <v>49</v>
      </c>
      <c r="C16" s="14" t="s">
        <v>52</v>
      </c>
      <c r="D16" s="100">
        <v>56</v>
      </c>
      <c r="E16" s="12">
        <v>20560</v>
      </c>
      <c r="F16" s="12">
        <v>926</v>
      </c>
      <c r="G16" s="13">
        <v>5</v>
      </c>
      <c r="H16" s="28">
        <v>4.6849220000000003</v>
      </c>
      <c r="I16" s="28">
        <v>3.7561610000000001</v>
      </c>
      <c r="J16" s="28">
        <v>2.2052679999999998</v>
      </c>
      <c r="K16" s="28">
        <v>3.8530000000000002</v>
      </c>
      <c r="L16" s="28">
        <v>3.8416920000000001</v>
      </c>
      <c r="M16" s="28">
        <v>4.5775709999999998</v>
      </c>
      <c r="N16" s="28">
        <v>4.0488189999999999</v>
      </c>
      <c r="O16" s="28">
        <v>4.319248</v>
      </c>
      <c r="P16" s="28">
        <v>3.908433</v>
      </c>
      <c r="Q16" s="28">
        <v>3.645778</v>
      </c>
      <c r="R16" s="28">
        <v>3.77264</v>
      </c>
      <c r="S16" s="28">
        <v>4.0666799999999999</v>
      </c>
      <c r="T16" s="28">
        <v>3.3825880000000002</v>
      </c>
      <c r="U16" s="28">
        <v>4.1893019999999996</v>
      </c>
      <c r="V16" s="28">
        <v>4.02583</v>
      </c>
      <c r="W16" s="28">
        <v>4.0442280000000004</v>
      </c>
      <c r="X16" s="88">
        <v>3.8951349999999998</v>
      </c>
      <c r="Y16" s="387"/>
      <c r="Z16" s="397"/>
      <c r="AA16" s="360"/>
      <c r="AB16" s="126">
        <f>(0/16)*100</f>
        <v>0</v>
      </c>
      <c r="AC16" s="357"/>
      <c r="AD16" s="358"/>
    </row>
    <row r="17" spans="1:30" s="14" customFormat="1" x14ac:dyDescent="0.2">
      <c r="A17" s="38" t="s">
        <v>6</v>
      </c>
      <c r="B17" s="45" t="s">
        <v>49</v>
      </c>
      <c r="C17" s="45" t="s">
        <v>52</v>
      </c>
      <c r="D17" s="102">
        <v>56</v>
      </c>
      <c r="E17" s="41">
        <v>30560</v>
      </c>
      <c r="F17" s="41">
        <v>3704</v>
      </c>
      <c r="G17" s="46">
        <v>16</v>
      </c>
      <c r="H17" s="29">
        <v>4.4952810000000003</v>
      </c>
      <c r="I17" s="29">
        <v>4.9874130000000001</v>
      </c>
      <c r="J17" s="29">
        <v>4.1416820000000003</v>
      </c>
      <c r="K17" s="29">
        <v>4.1144869999999996</v>
      </c>
      <c r="L17" s="29">
        <v>3.3259219999999998</v>
      </c>
      <c r="M17" s="29">
        <v>4.1289559999999996</v>
      </c>
      <c r="N17" s="29">
        <v>3.7550659999999998</v>
      </c>
      <c r="O17" s="29">
        <v>4.1309490000000002</v>
      </c>
      <c r="P17" s="29">
        <v>3.8968340000000001</v>
      </c>
      <c r="Q17" s="29">
        <v>2.7191670000000001</v>
      </c>
      <c r="R17" s="29">
        <v>3.8664200000000002</v>
      </c>
      <c r="S17" s="29">
        <v>4.1139130000000002</v>
      </c>
      <c r="T17" s="29">
        <v>3.4276970000000002</v>
      </c>
      <c r="U17" s="29">
        <v>4.202305</v>
      </c>
      <c r="V17" s="29">
        <v>4.4756150000000003</v>
      </c>
      <c r="W17" s="29">
        <v>3.720761</v>
      </c>
      <c r="X17" s="88">
        <v>3.9689040000000002</v>
      </c>
      <c r="Y17" s="388"/>
      <c r="Z17" s="398"/>
      <c r="AA17" s="361"/>
      <c r="AB17" s="126">
        <f>(0/16)*100</f>
        <v>0</v>
      </c>
      <c r="AC17" s="357"/>
      <c r="AD17" s="358"/>
    </row>
    <row r="18" spans="1:30" s="14" customFormat="1" x14ac:dyDescent="0.2">
      <c r="A18" s="32" t="s">
        <v>6</v>
      </c>
      <c r="B18" s="43" t="s">
        <v>16</v>
      </c>
      <c r="C18" s="43" t="s">
        <v>53</v>
      </c>
      <c r="D18" s="100">
        <v>64</v>
      </c>
      <c r="E18" s="35">
        <v>10640</v>
      </c>
      <c r="F18" s="35">
        <v>500</v>
      </c>
      <c r="G18" s="44">
        <v>2.5</v>
      </c>
      <c r="H18" s="27">
        <v>4.9530029999999998</v>
      </c>
      <c r="I18" s="27">
        <v>5.0427030000000004</v>
      </c>
      <c r="J18" s="27">
        <v>5.7427359999999998</v>
      </c>
      <c r="K18" s="27">
        <v>5.3582660000000004</v>
      </c>
      <c r="L18" s="27">
        <v>6.0976949999999999</v>
      </c>
      <c r="M18" s="27">
        <v>6.0149169999999996</v>
      </c>
      <c r="N18" s="27">
        <v>6.6750040000000004</v>
      </c>
      <c r="O18" s="27">
        <v>5.163538</v>
      </c>
      <c r="P18" s="27">
        <v>6.438275</v>
      </c>
      <c r="Q18" s="27">
        <v>5.4370520000000004</v>
      </c>
      <c r="R18" s="27">
        <v>4.74824</v>
      </c>
      <c r="S18" s="27">
        <v>5.7415989999999999</v>
      </c>
      <c r="T18" s="27">
        <v>6.5098529999999997</v>
      </c>
      <c r="U18" s="27">
        <v>4.8649519999999997</v>
      </c>
      <c r="V18" s="27">
        <v>5.1348289999999999</v>
      </c>
      <c r="W18" s="27">
        <v>4.5082149999999999</v>
      </c>
      <c r="X18" s="89">
        <v>5.5269300000000001</v>
      </c>
      <c r="Y18" s="365">
        <v>5.125</v>
      </c>
      <c r="Z18" s="380">
        <v>5.14</v>
      </c>
      <c r="AA18" s="359" t="s">
        <v>88</v>
      </c>
      <c r="AB18" s="126">
        <f>(12/16)*100</f>
        <v>75</v>
      </c>
      <c r="AC18" s="357">
        <f>(28/48)*100</f>
        <v>58.333333333333336</v>
      </c>
      <c r="AD18" s="358">
        <f>(57/96)*100</f>
        <v>59.375</v>
      </c>
    </row>
    <row r="19" spans="1:30" s="14" customFormat="1" x14ac:dyDescent="0.2">
      <c r="A19" s="37" t="s">
        <v>6</v>
      </c>
      <c r="B19" s="14" t="s">
        <v>16</v>
      </c>
      <c r="C19" s="14" t="s">
        <v>53</v>
      </c>
      <c r="D19" s="100">
        <v>64</v>
      </c>
      <c r="E19" s="12">
        <v>20640</v>
      </c>
      <c r="F19" s="12">
        <v>926</v>
      </c>
      <c r="G19" s="13">
        <v>9.5</v>
      </c>
      <c r="H19" s="28">
        <v>4.8355620000000004</v>
      </c>
      <c r="I19" s="28">
        <v>4.9816279999999997</v>
      </c>
      <c r="J19" s="28">
        <v>5.3694110000000004</v>
      </c>
      <c r="K19" s="28">
        <v>4.9627059999999998</v>
      </c>
      <c r="L19" s="28">
        <v>6.4624889999999997</v>
      </c>
      <c r="M19" s="28">
        <v>6.2827320000000002</v>
      </c>
      <c r="N19" s="28">
        <v>5.2130190000000001</v>
      </c>
      <c r="O19" s="28">
        <v>5.442647</v>
      </c>
      <c r="P19" s="28">
        <v>6.3438020000000002</v>
      </c>
      <c r="Q19" s="28">
        <v>4.5914570000000001</v>
      </c>
      <c r="R19" s="28">
        <v>4.2825490000000004</v>
      </c>
      <c r="S19" s="28">
        <v>4.4741960000000001</v>
      </c>
      <c r="T19" s="28">
        <v>6.2143370000000004</v>
      </c>
      <c r="U19" s="28">
        <v>5.4379119999999999</v>
      </c>
      <c r="V19" s="28">
        <v>3.4084300000000001</v>
      </c>
      <c r="W19" s="28">
        <v>5.3625100000000003</v>
      </c>
      <c r="X19" s="89">
        <v>5.2290869999999998</v>
      </c>
      <c r="Y19" s="378"/>
      <c r="Z19" s="381"/>
      <c r="AA19" s="360"/>
      <c r="AB19" s="126">
        <f>(9/16)*100</f>
        <v>56.25</v>
      </c>
      <c r="AC19" s="357"/>
      <c r="AD19" s="358"/>
    </row>
    <row r="20" spans="1:30" s="14" customFormat="1" x14ac:dyDescent="0.2">
      <c r="A20" s="38" t="s">
        <v>6</v>
      </c>
      <c r="B20" s="45" t="s">
        <v>16</v>
      </c>
      <c r="C20" s="45" t="s">
        <v>53</v>
      </c>
      <c r="D20" s="102">
        <v>64</v>
      </c>
      <c r="E20" s="41">
        <v>30640</v>
      </c>
      <c r="F20" s="41">
        <v>3704</v>
      </c>
      <c r="G20" s="46">
        <v>19</v>
      </c>
      <c r="H20" s="29">
        <v>5.0537419999999997</v>
      </c>
      <c r="I20" s="29">
        <v>5.3198670000000003</v>
      </c>
      <c r="J20" s="29">
        <v>5.1112169999999999</v>
      </c>
      <c r="K20" s="29">
        <v>4.2504629999999999</v>
      </c>
      <c r="L20" s="29">
        <v>5.7391930000000002</v>
      </c>
      <c r="M20" s="29">
        <v>4.4888700000000004</v>
      </c>
      <c r="N20" s="29">
        <v>4.8061850000000002</v>
      </c>
      <c r="O20" s="29">
        <v>4.1484019999999999</v>
      </c>
      <c r="P20" s="29">
        <v>4.3217179999999997</v>
      </c>
      <c r="Q20" s="29">
        <v>2.9552269999999998</v>
      </c>
      <c r="R20" s="29">
        <v>5.0957210000000002</v>
      </c>
      <c r="S20" s="29">
        <v>3.5472459999999999</v>
      </c>
      <c r="T20" s="29">
        <v>5.8705379999999998</v>
      </c>
      <c r="U20" s="29">
        <v>4.4909829999999999</v>
      </c>
      <c r="V20" s="29">
        <v>3.050913</v>
      </c>
      <c r="W20" s="29">
        <v>5.633642</v>
      </c>
      <c r="X20" s="85">
        <v>4.6177450000000002</v>
      </c>
      <c r="Y20" s="379"/>
      <c r="Z20" s="381"/>
      <c r="AA20" s="360"/>
      <c r="AB20" s="126">
        <f>(7/16)*100</f>
        <v>43.75</v>
      </c>
      <c r="AC20" s="357"/>
      <c r="AD20" s="358"/>
    </row>
    <row r="21" spans="1:30" s="14" customFormat="1" x14ac:dyDescent="0.2">
      <c r="A21" s="32" t="s">
        <v>19</v>
      </c>
      <c r="B21" s="43" t="s">
        <v>20</v>
      </c>
      <c r="C21" s="43" t="s">
        <v>54</v>
      </c>
      <c r="D21" s="100">
        <v>72</v>
      </c>
      <c r="E21" s="35">
        <v>10720</v>
      </c>
      <c r="F21" s="35">
        <v>500</v>
      </c>
      <c r="G21" s="44">
        <v>2</v>
      </c>
      <c r="H21" s="27">
        <v>5.813993</v>
      </c>
      <c r="I21" s="27">
        <v>5.0618730000000003</v>
      </c>
      <c r="J21" s="27">
        <v>4.8198939999999997</v>
      </c>
      <c r="K21" s="27">
        <v>6.0057600000000004</v>
      </c>
      <c r="L21" s="27">
        <v>5.3442299999999996</v>
      </c>
      <c r="M21" s="27">
        <v>6.158029</v>
      </c>
      <c r="N21" s="27">
        <v>6.1130849999999999</v>
      </c>
      <c r="O21" s="27">
        <v>4.4667060000000003</v>
      </c>
      <c r="P21" s="27">
        <v>4.6388879999999997</v>
      </c>
      <c r="Q21" s="27">
        <v>4.3682150000000002</v>
      </c>
      <c r="R21" s="27">
        <v>4.2610549999999998</v>
      </c>
      <c r="S21" s="27">
        <v>5.6122430000000003</v>
      </c>
      <c r="T21" s="27">
        <v>5.5697239999999999</v>
      </c>
      <c r="U21" s="27">
        <v>5.0574079999999997</v>
      </c>
      <c r="V21" s="27">
        <v>5.4728159999999999</v>
      </c>
      <c r="W21" s="27">
        <v>5.61205</v>
      </c>
      <c r="X21" s="89">
        <v>5.273498</v>
      </c>
      <c r="Y21" s="365">
        <v>5.1550000000000002</v>
      </c>
      <c r="Z21" s="381"/>
      <c r="AA21" s="360"/>
      <c r="AB21" s="126">
        <f>(11/16)*100</f>
        <v>68.75</v>
      </c>
      <c r="AC21" s="357">
        <f>(29/48)*100</f>
        <v>60.416666666666664</v>
      </c>
      <c r="AD21" s="358"/>
    </row>
    <row r="22" spans="1:30" s="14" customFormat="1" x14ac:dyDescent="0.2">
      <c r="A22" s="37" t="s">
        <v>19</v>
      </c>
      <c r="B22" s="14" t="s">
        <v>20</v>
      </c>
      <c r="C22" s="14" t="s">
        <v>54</v>
      </c>
      <c r="D22" s="100">
        <v>72</v>
      </c>
      <c r="E22" s="12">
        <v>20720</v>
      </c>
      <c r="F22" s="12">
        <v>926</v>
      </c>
      <c r="G22" s="13">
        <v>3.5</v>
      </c>
      <c r="H22" s="28">
        <v>5.7941830000000003</v>
      </c>
      <c r="I22" s="28">
        <v>5.5441580000000004</v>
      </c>
      <c r="J22" s="28">
        <v>4.676914</v>
      </c>
      <c r="K22" s="28">
        <v>6.4736589999999996</v>
      </c>
      <c r="L22" s="28">
        <v>5.1942729999999999</v>
      </c>
      <c r="M22" s="28">
        <v>6.0615819999999996</v>
      </c>
      <c r="N22" s="28">
        <v>5.4943390000000001</v>
      </c>
      <c r="O22" s="28">
        <v>4.5345319999999996</v>
      </c>
      <c r="P22" s="28">
        <v>4.312227</v>
      </c>
      <c r="Q22" s="28">
        <v>3.7228509999999999</v>
      </c>
      <c r="R22" s="28">
        <v>4.6645510000000003</v>
      </c>
      <c r="S22" s="28">
        <v>5.5088239999999997</v>
      </c>
      <c r="T22" s="28">
        <v>5.5265849999999999</v>
      </c>
      <c r="U22" s="28">
        <v>5.2573689999999997</v>
      </c>
      <c r="V22" s="28">
        <v>6.0650709999999997</v>
      </c>
      <c r="W22" s="28">
        <v>5.8545249999999998</v>
      </c>
      <c r="X22" s="89">
        <v>5.2928519999999999</v>
      </c>
      <c r="Y22" s="378"/>
      <c r="Z22" s="381"/>
      <c r="AA22" s="360"/>
      <c r="AB22" s="126">
        <f>(11/16)*100</f>
        <v>68.75</v>
      </c>
      <c r="AC22" s="357"/>
      <c r="AD22" s="358"/>
    </row>
    <row r="23" spans="1:30" x14ac:dyDescent="0.2">
      <c r="A23" s="38" t="s">
        <v>19</v>
      </c>
      <c r="B23" s="45" t="s">
        <v>20</v>
      </c>
      <c r="C23" s="45" t="s">
        <v>54</v>
      </c>
      <c r="D23" s="102">
        <v>72</v>
      </c>
      <c r="E23" s="41">
        <v>30720</v>
      </c>
      <c r="F23" s="41">
        <v>3704</v>
      </c>
      <c r="G23" s="46">
        <v>13.5</v>
      </c>
      <c r="H23" s="29">
        <v>4.9706330000000003</v>
      </c>
      <c r="I23" s="29">
        <v>5.6976889999999996</v>
      </c>
      <c r="J23" s="29">
        <v>4.6315010000000001</v>
      </c>
      <c r="K23" s="29">
        <v>5.6428190000000003</v>
      </c>
      <c r="L23" s="29">
        <v>4.8084709999999999</v>
      </c>
      <c r="M23" s="29">
        <v>5.2114649999999996</v>
      </c>
      <c r="N23" s="29">
        <v>4.2669730000000001</v>
      </c>
      <c r="O23" s="29">
        <v>4.8362439999999998</v>
      </c>
      <c r="P23" s="29">
        <v>4.0610569999999999</v>
      </c>
      <c r="Q23" s="29">
        <v>3.4144800000000002</v>
      </c>
      <c r="R23" s="29">
        <v>4.7456969999999998</v>
      </c>
      <c r="S23" s="29">
        <v>4.1870960000000004</v>
      </c>
      <c r="T23" s="29">
        <v>5.2864899999999997</v>
      </c>
      <c r="U23" s="29">
        <v>5.1442490000000003</v>
      </c>
      <c r="V23" s="29">
        <v>5.9773630000000004</v>
      </c>
      <c r="W23" s="29">
        <v>5.4824669999999998</v>
      </c>
      <c r="X23" s="85">
        <v>4.8977930000000001</v>
      </c>
      <c r="Y23" s="379"/>
      <c r="Z23" s="382"/>
      <c r="AA23" s="361"/>
      <c r="AB23" s="126">
        <f>(7/16)*100</f>
        <v>43.75</v>
      </c>
      <c r="AC23" s="357"/>
      <c r="AD23" s="358"/>
    </row>
    <row r="24" spans="1:30" ht="12.75" customHeight="1" x14ac:dyDescent="0.2">
      <c r="A24" s="32" t="s">
        <v>19</v>
      </c>
      <c r="B24" s="33" t="s">
        <v>24</v>
      </c>
      <c r="C24" s="33" t="s">
        <v>25</v>
      </c>
      <c r="D24" s="100">
        <v>601</v>
      </c>
      <c r="E24" s="34">
        <v>16010</v>
      </c>
      <c r="F24" s="35">
        <v>500</v>
      </c>
      <c r="G24" s="36">
        <v>5</v>
      </c>
      <c r="H24" s="27">
        <v>5.0168150000000002</v>
      </c>
      <c r="I24" s="27">
        <v>6.2404489999999999</v>
      </c>
      <c r="J24" s="27">
        <v>5.5573649999999999</v>
      </c>
      <c r="K24" s="27">
        <v>6.293088</v>
      </c>
      <c r="L24" s="27">
        <v>5.4641159999999998</v>
      </c>
      <c r="M24" s="27">
        <v>4.9827979999999998</v>
      </c>
      <c r="N24" s="27">
        <v>5.4592989999999997</v>
      </c>
      <c r="O24" s="27">
        <v>4.1564249999999996</v>
      </c>
      <c r="P24" s="27">
        <v>3.763903</v>
      </c>
      <c r="Q24" s="27">
        <v>4.8173219999999999</v>
      </c>
      <c r="R24" s="27">
        <v>4.4756869999999997</v>
      </c>
      <c r="S24" s="27">
        <v>6.1771989999999999</v>
      </c>
      <c r="T24" s="27">
        <v>4.6902270000000001</v>
      </c>
      <c r="U24" s="27">
        <v>6.1863659999999996</v>
      </c>
      <c r="V24" s="27">
        <v>7.1804779999999999</v>
      </c>
      <c r="W24" s="27">
        <v>5.2387829999999997</v>
      </c>
      <c r="X24" s="89">
        <v>5.3562700000000003</v>
      </c>
      <c r="Y24" s="365">
        <v>5.1420000000000003</v>
      </c>
      <c r="Z24" s="377">
        <v>5.1420000000000003</v>
      </c>
      <c r="AA24" s="362" t="s">
        <v>87</v>
      </c>
      <c r="AB24" s="126">
        <f>(10/16)*100</f>
        <v>62.5</v>
      </c>
      <c r="AC24" s="357">
        <f>(25/48)*100</f>
        <v>52.083333333333336</v>
      </c>
      <c r="AD24" s="358">
        <f>(25/48)*100</f>
        <v>52.083333333333336</v>
      </c>
    </row>
    <row r="25" spans="1:30" ht="12.75" customHeight="1" x14ac:dyDescent="0.2">
      <c r="A25" s="37" t="s">
        <v>19</v>
      </c>
      <c r="B25" s="15" t="s">
        <v>24</v>
      </c>
      <c r="C25" s="15" t="s">
        <v>25</v>
      </c>
      <c r="D25" s="100">
        <v>601</v>
      </c>
      <c r="E25" s="11">
        <v>26010</v>
      </c>
      <c r="F25" s="12">
        <v>926</v>
      </c>
      <c r="G25" s="9">
        <v>16</v>
      </c>
      <c r="H25" s="28">
        <v>5.3814450000000003</v>
      </c>
      <c r="I25" s="28">
        <v>5.4917680000000004</v>
      </c>
      <c r="J25" s="28">
        <v>5.4232329999999997</v>
      </c>
      <c r="K25" s="28">
        <v>5.9099389999999996</v>
      </c>
      <c r="L25" s="28">
        <v>4.6992370000000001</v>
      </c>
      <c r="M25" s="28">
        <v>6.0184730000000002</v>
      </c>
      <c r="N25" s="28">
        <v>5.0286949999999999</v>
      </c>
      <c r="O25" s="28">
        <v>4.7817179999999997</v>
      </c>
      <c r="P25" s="28">
        <v>3.3862800000000002</v>
      </c>
      <c r="Q25" s="28">
        <v>3.8358699999999999</v>
      </c>
      <c r="R25" s="28">
        <v>4.7997170000000002</v>
      </c>
      <c r="S25" s="28">
        <v>6.0759660000000002</v>
      </c>
      <c r="T25" s="28">
        <v>6.5018019999999996</v>
      </c>
      <c r="U25" s="28">
        <v>5.2382559999999998</v>
      </c>
      <c r="V25" s="28">
        <v>6.9271060000000002</v>
      </c>
      <c r="W25" s="28">
        <v>6.6501070000000002</v>
      </c>
      <c r="X25" s="89">
        <v>5.3843509999999997</v>
      </c>
      <c r="Y25" s="378"/>
      <c r="Z25" s="377"/>
      <c r="AA25" s="363"/>
      <c r="AB25" s="126">
        <f>(11/16)*100</f>
        <v>68.75</v>
      </c>
      <c r="AC25" s="357"/>
      <c r="AD25" s="358"/>
    </row>
    <row r="26" spans="1:30" ht="12.75" customHeight="1" thickBot="1" x14ac:dyDescent="0.25">
      <c r="A26" s="38" t="s">
        <v>19</v>
      </c>
      <c r="B26" s="39" t="s">
        <v>24</v>
      </c>
      <c r="C26" s="39" t="s">
        <v>25</v>
      </c>
      <c r="D26" s="102">
        <v>601</v>
      </c>
      <c r="E26" s="40">
        <v>36010</v>
      </c>
      <c r="F26" s="41">
        <v>3704</v>
      </c>
      <c r="G26" s="42">
        <v>27</v>
      </c>
      <c r="H26" s="29">
        <v>4.1820599999999999</v>
      </c>
      <c r="I26" s="29">
        <v>4.8136989999999997</v>
      </c>
      <c r="J26" s="29">
        <v>4.4669299999999996</v>
      </c>
      <c r="K26" s="29">
        <v>5.2919460000000003</v>
      </c>
      <c r="L26" s="29">
        <v>4.1804220000000001</v>
      </c>
      <c r="M26" s="29">
        <v>5.6055570000000001</v>
      </c>
      <c r="N26" s="29">
        <v>4.6706300000000001</v>
      </c>
      <c r="O26" s="29">
        <v>4.2567459999999997</v>
      </c>
      <c r="P26" s="29">
        <v>4.1945819999999996</v>
      </c>
      <c r="Q26" s="29">
        <v>3.475692</v>
      </c>
      <c r="R26" s="29">
        <v>4.5234620000000003</v>
      </c>
      <c r="S26" s="29">
        <v>4.3056850000000004</v>
      </c>
      <c r="T26" s="29">
        <v>4.5292690000000002</v>
      </c>
      <c r="U26" s="29">
        <v>5.6071369999999998</v>
      </c>
      <c r="V26" s="29">
        <v>6.1614690000000003</v>
      </c>
      <c r="W26" s="29">
        <v>4.7016039999999997</v>
      </c>
      <c r="X26" s="86">
        <v>4.6854310000000003</v>
      </c>
      <c r="Y26" s="395"/>
      <c r="Z26" s="394"/>
      <c r="AA26" s="393"/>
      <c r="AB26" s="126">
        <f>(4/16)*100</f>
        <v>25</v>
      </c>
      <c r="AC26" s="357"/>
      <c r="AD26" s="358"/>
    </row>
    <row r="27" spans="1:30" ht="27" customHeight="1" x14ac:dyDescent="0.2">
      <c r="D27" s="100"/>
      <c r="I27" s="23"/>
      <c r="J27" s="23"/>
      <c r="Y27" s="129"/>
      <c r="Z27" s="392" t="s">
        <v>86</v>
      </c>
      <c r="AA27" s="392"/>
      <c r="AB27" s="392"/>
      <c r="AC27" s="392"/>
      <c r="AD27" s="392"/>
    </row>
    <row r="28" spans="1:30" x14ac:dyDescent="0.2">
      <c r="D28" s="100"/>
      <c r="I28" s="23"/>
      <c r="J28" s="23"/>
    </row>
    <row r="29" spans="1:30" x14ac:dyDescent="0.2">
      <c r="D29" s="100"/>
      <c r="I29" s="23"/>
      <c r="J29" s="23"/>
    </row>
    <row r="30" spans="1:30" x14ac:dyDescent="0.2">
      <c r="I30" s="23"/>
      <c r="J30" s="23"/>
    </row>
    <row r="31" spans="1:30" x14ac:dyDescent="0.2">
      <c r="I31" s="23"/>
      <c r="J31" s="23"/>
    </row>
    <row r="32" spans="1:30" x14ac:dyDescent="0.2">
      <c r="J32" s="23"/>
    </row>
    <row r="33" spans="2:10" x14ac:dyDescent="0.2">
      <c r="B33" s="5"/>
      <c r="D33" s="100"/>
      <c r="J33" s="23"/>
    </row>
    <row r="34" spans="2:10" x14ac:dyDescent="0.2">
      <c r="B34" s="5"/>
      <c r="D34" s="100"/>
      <c r="J34" s="23"/>
    </row>
    <row r="35" spans="2:10" x14ac:dyDescent="0.2">
      <c r="B35" s="5"/>
      <c r="D35" s="100"/>
      <c r="J35" s="23"/>
    </row>
    <row r="36" spans="2:10" x14ac:dyDescent="0.2">
      <c r="B36" s="5"/>
      <c r="D36" s="100"/>
    </row>
    <row r="37" spans="2:10" x14ac:dyDescent="0.2">
      <c r="B37" s="5"/>
      <c r="D37" s="100"/>
    </row>
    <row r="38" spans="2:10" x14ac:dyDescent="0.2">
      <c r="B38" s="5"/>
      <c r="D38" s="100"/>
    </row>
  </sheetData>
  <mergeCells count="31">
    <mergeCell ref="AB1:AD1"/>
    <mergeCell ref="X1:Z1"/>
    <mergeCell ref="Z3:Z11"/>
    <mergeCell ref="Z12:Z17"/>
    <mergeCell ref="AC3:AC5"/>
    <mergeCell ref="AD3:AD11"/>
    <mergeCell ref="AC6:AC8"/>
    <mergeCell ref="AC9:AC11"/>
    <mergeCell ref="AA3:AA11"/>
    <mergeCell ref="AC21:AC23"/>
    <mergeCell ref="Y21:Y23"/>
    <mergeCell ref="Y6:Y8"/>
    <mergeCell ref="Y9:Y11"/>
    <mergeCell ref="Y3:Y5"/>
    <mergeCell ref="AA18:AA23"/>
    <mergeCell ref="Z27:AD27"/>
    <mergeCell ref="AA24:AA26"/>
    <mergeCell ref="Y12:Y14"/>
    <mergeCell ref="Y15:Y17"/>
    <mergeCell ref="Y18:Y20"/>
    <mergeCell ref="AC12:AC14"/>
    <mergeCell ref="Z18:Z23"/>
    <mergeCell ref="Z24:Z26"/>
    <mergeCell ref="Y24:Y26"/>
    <mergeCell ref="AA12:AA17"/>
    <mergeCell ref="AC24:AC26"/>
    <mergeCell ref="AD24:AD26"/>
    <mergeCell ref="AC15:AC17"/>
    <mergeCell ref="AC18:AC20"/>
    <mergeCell ref="AD18:AD23"/>
    <mergeCell ref="AD12:AD17"/>
  </mergeCells>
  <phoneticPr fontId="4" type="noConversion"/>
  <pageMargins left="0.75" right="0.75" top="1" bottom="1" header="0.5" footer="0.5"/>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38"/>
  <sheetViews>
    <sheetView topLeftCell="T1" workbookViewId="0">
      <selection activeCell="N2" sqref="N2:U2"/>
    </sheetView>
  </sheetViews>
  <sheetFormatPr defaultRowHeight="12.75" x14ac:dyDescent="0.2"/>
  <cols>
    <col min="1" max="1" width="5.7109375" style="12" customWidth="1"/>
    <col min="2" max="2" width="22.85546875" style="15" bestFit="1" customWidth="1"/>
    <col min="3" max="3" width="38" style="15" bestFit="1" customWidth="1"/>
    <col min="4" max="4" width="10.42578125" style="15" customWidth="1"/>
    <col min="5" max="5" width="9.7109375" style="12" bestFit="1" customWidth="1"/>
    <col min="6" max="6" width="10.85546875" style="15" bestFit="1" customWidth="1"/>
    <col min="7" max="7" width="10.5703125" style="15" customWidth="1"/>
    <col min="8" max="8" width="17.5703125" style="15" bestFit="1" customWidth="1"/>
    <col min="9" max="19" width="9.140625" style="15"/>
    <col min="20" max="20" width="11.28515625" style="15" customWidth="1"/>
    <col min="21" max="21" width="11.7109375" style="15" customWidth="1"/>
    <col min="22" max="22" width="9.140625" style="15"/>
    <col min="23" max="23" width="10.5703125" style="15" customWidth="1"/>
    <col min="24" max="24" width="10.7109375" style="15" customWidth="1"/>
    <col min="25" max="25" width="13" style="15" customWidth="1"/>
    <col min="26" max="26" width="12.5703125" style="15" customWidth="1"/>
    <col min="27" max="27" width="11.5703125" style="15" bestFit="1" customWidth="1"/>
    <col min="28" max="28" width="16.42578125" style="15" customWidth="1"/>
    <col min="29" max="29" width="12.28515625" style="15" bestFit="1" customWidth="1"/>
    <col min="30" max="30" width="12.42578125" style="15" bestFit="1" customWidth="1"/>
    <col min="31" max="31" width="14.42578125" style="15" bestFit="1" customWidth="1"/>
    <col min="32" max="16384" width="9.140625" style="15"/>
  </cols>
  <sheetData>
    <row r="1" spans="1:31" ht="42.75" customHeight="1" x14ac:dyDescent="0.2">
      <c r="Y1" s="371" t="s">
        <v>90</v>
      </c>
      <c r="Z1" s="371"/>
      <c r="AA1" s="371"/>
      <c r="AC1" s="371" t="s">
        <v>94</v>
      </c>
      <c r="AD1" s="371"/>
      <c r="AE1" s="371"/>
    </row>
    <row r="2" spans="1:31" s="10" customFormat="1" ht="41.25" customHeight="1" x14ac:dyDescent="0.2">
      <c r="A2" s="1" t="s">
        <v>0</v>
      </c>
      <c r="B2" s="2" t="s">
        <v>1</v>
      </c>
      <c r="C2" s="1" t="s">
        <v>2</v>
      </c>
      <c r="D2" s="3" t="s">
        <v>89</v>
      </c>
      <c r="E2" s="1" t="s">
        <v>81</v>
      </c>
      <c r="F2" s="1" t="s">
        <v>4</v>
      </c>
      <c r="G2" s="1" t="s">
        <v>5</v>
      </c>
      <c r="H2" s="1" t="s">
        <v>85</v>
      </c>
      <c r="I2" s="3" t="s">
        <v>28</v>
      </c>
      <c r="J2" s="3" t="s">
        <v>29</v>
      </c>
      <c r="K2" s="3" t="s">
        <v>30</v>
      </c>
      <c r="L2" s="3" t="s">
        <v>31</v>
      </c>
      <c r="M2" s="3" t="s">
        <v>45</v>
      </c>
      <c r="N2" s="3" t="s">
        <v>35</v>
      </c>
      <c r="O2" s="3" t="s">
        <v>36</v>
      </c>
      <c r="P2" s="3" t="s">
        <v>34</v>
      </c>
      <c r="Q2" s="3" t="s">
        <v>37</v>
      </c>
      <c r="R2" s="3" t="s">
        <v>38</v>
      </c>
      <c r="S2" s="3" t="s">
        <v>39</v>
      </c>
      <c r="T2" s="3" t="s">
        <v>40</v>
      </c>
      <c r="U2" s="3" t="s">
        <v>41</v>
      </c>
      <c r="V2" s="3" t="s">
        <v>42</v>
      </c>
      <c r="W2" s="3" t="s">
        <v>43</v>
      </c>
      <c r="X2" s="24" t="s">
        <v>44</v>
      </c>
      <c r="Y2" s="25" t="s">
        <v>71</v>
      </c>
      <c r="Z2" s="26" t="s">
        <v>72</v>
      </c>
      <c r="AA2" s="26" t="s">
        <v>80</v>
      </c>
      <c r="AB2" s="1" t="s">
        <v>85</v>
      </c>
      <c r="AC2" s="123" t="s">
        <v>91</v>
      </c>
      <c r="AD2" s="123" t="s">
        <v>92</v>
      </c>
      <c r="AE2" s="123" t="s">
        <v>93</v>
      </c>
    </row>
    <row r="3" spans="1:31" s="14" customFormat="1" x14ac:dyDescent="0.2">
      <c r="A3" s="32" t="s">
        <v>6</v>
      </c>
      <c r="B3" s="50" t="s">
        <v>9</v>
      </c>
      <c r="C3" s="50" t="s">
        <v>46</v>
      </c>
      <c r="D3" s="101">
        <v>8</v>
      </c>
      <c r="E3" s="47">
        <v>10080</v>
      </c>
      <c r="F3" s="35">
        <v>500</v>
      </c>
      <c r="G3" s="44">
        <v>2</v>
      </c>
      <c r="H3" s="359" t="s">
        <v>82</v>
      </c>
      <c r="I3" s="27">
        <v>4.3681429999999999</v>
      </c>
      <c r="J3" s="27">
        <v>3.574916</v>
      </c>
      <c r="K3" s="27">
        <v>3.1583329999999998</v>
      </c>
      <c r="L3" s="27">
        <v>4.0952229999999998</v>
      </c>
      <c r="M3" s="27">
        <v>4.4002929999999996</v>
      </c>
      <c r="N3" s="27">
        <v>4.0378429999999996</v>
      </c>
      <c r="O3" s="27">
        <v>3.8256730000000001</v>
      </c>
      <c r="P3" s="27">
        <v>3.7062050000000002</v>
      </c>
      <c r="Q3" s="27">
        <v>3.9142039999999998</v>
      </c>
      <c r="R3" s="27">
        <v>4.091933</v>
      </c>
      <c r="S3" s="27">
        <v>4.0169199999999998</v>
      </c>
      <c r="T3" s="27">
        <v>3.8060770000000002</v>
      </c>
      <c r="U3" s="27">
        <v>2.8202280000000002</v>
      </c>
      <c r="V3" s="27">
        <v>4.5267910000000002</v>
      </c>
      <c r="W3" s="27">
        <v>4.4527020000000004</v>
      </c>
      <c r="X3" s="27">
        <v>4.9093010000000001</v>
      </c>
      <c r="Y3" s="90">
        <v>3.9815489999999998</v>
      </c>
      <c r="Z3" s="400">
        <v>3.8236620000000001</v>
      </c>
      <c r="AA3" s="372">
        <v>4.1559999999999997</v>
      </c>
      <c r="AB3" s="359" t="s">
        <v>82</v>
      </c>
      <c r="AC3" s="126">
        <f>(0/16)*100</f>
        <v>0</v>
      </c>
      <c r="AD3" s="357">
        <f>(0/48)*100</f>
        <v>0</v>
      </c>
      <c r="AE3" s="358">
        <f>(16/144)*100</f>
        <v>11.111111111111111</v>
      </c>
    </row>
    <row r="4" spans="1:31" s="14" customFormat="1" x14ac:dyDescent="0.2">
      <c r="A4" s="37" t="s">
        <v>6</v>
      </c>
      <c r="B4" s="4" t="s">
        <v>9</v>
      </c>
      <c r="C4" s="4" t="s">
        <v>46</v>
      </c>
      <c r="D4" s="100">
        <v>8</v>
      </c>
      <c r="E4" s="7">
        <v>20080</v>
      </c>
      <c r="F4" s="12">
        <v>926</v>
      </c>
      <c r="G4" s="13">
        <v>4.5</v>
      </c>
      <c r="H4" s="360"/>
      <c r="I4" s="28">
        <v>4.5028129999999997</v>
      </c>
      <c r="J4" s="28">
        <v>4.5867069999999996</v>
      </c>
      <c r="K4" s="28">
        <v>3.1634600000000002</v>
      </c>
      <c r="L4" s="28">
        <v>4.3496899999999998</v>
      </c>
      <c r="M4" s="28">
        <v>4.5444009999999997</v>
      </c>
      <c r="N4" s="28">
        <v>3.6844100000000002</v>
      </c>
      <c r="O4" s="28">
        <v>3.635866</v>
      </c>
      <c r="P4" s="28">
        <v>4.3714339999999998</v>
      </c>
      <c r="Q4" s="28">
        <v>3.7427640000000002</v>
      </c>
      <c r="R4" s="28">
        <v>4.0333360000000003</v>
      </c>
      <c r="S4" s="28">
        <v>4.0125270000000004</v>
      </c>
      <c r="T4" s="28">
        <v>3.5299309999999999</v>
      </c>
      <c r="U4" s="28">
        <v>3.5244520000000001</v>
      </c>
      <c r="V4" s="28">
        <v>2.5449440000000001</v>
      </c>
      <c r="W4" s="28">
        <v>3.6511490000000002</v>
      </c>
      <c r="X4" s="28">
        <v>4.5399649999999996</v>
      </c>
      <c r="Y4" s="91">
        <v>3.901116</v>
      </c>
      <c r="Z4" s="400"/>
      <c r="AA4" s="373"/>
      <c r="AB4" s="360"/>
      <c r="AC4" s="126">
        <f>(0/16)*100</f>
        <v>0</v>
      </c>
      <c r="AD4" s="357"/>
      <c r="AE4" s="358"/>
    </row>
    <row r="5" spans="1:31" s="14" customFormat="1" x14ac:dyDescent="0.2">
      <c r="A5" s="38" t="s">
        <v>6</v>
      </c>
      <c r="B5" s="52" t="s">
        <v>9</v>
      </c>
      <c r="C5" s="52" t="s">
        <v>46</v>
      </c>
      <c r="D5" s="102">
        <v>8</v>
      </c>
      <c r="E5" s="48">
        <v>30080</v>
      </c>
      <c r="F5" s="41">
        <v>3704</v>
      </c>
      <c r="G5" s="46">
        <v>13</v>
      </c>
      <c r="H5" s="360"/>
      <c r="I5" s="29">
        <v>4.9494809999999996</v>
      </c>
      <c r="J5" s="29">
        <v>3.4621010000000001</v>
      </c>
      <c r="K5" s="29">
        <v>2.7256360000000002</v>
      </c>
      <c r="L5" s="29">
        <v>4.2138059999999999</v>
      </c>
      <c r="M5" s="29">
        <v>4.0815900000000003</v>
      </c>
      <c r="N5" s="29">
        <v>3.7057519999999999</v>
      </c>
      <c r="O5" s="29">
        <v>3.6478480000000002</v>
      </c>
      <c r="P5" s="29">
        <v>3.7112379999999998</v>
      </c>
      <c r="Q5" s="29">
        <v>2.7063570000000001</v>
      </c>
      <c r="R5" s="29">
        <v>3.8084820000000001</v>
      </c>
      <c r="S5" s="29">
        <v>2.935295</v>
      </c>
      <c r="T5" s="29">
        <v>2.3621120000000002</v>
      </c>
      <c r="U5" s="29">
        <v>2.6325980000000002</v>
      </c>
      <c r="V5" s="29">
        <v>3.3053360000000001</v>
      </c>
      <c r="W5" s="29">
        <v>4.7765259999999996</v>
      </c>
      <c r="X5" s="29">
        <v>4.3889709999999997</v>
      </c>
      <c r="Y5" s="92">
        <v>3.5883210000000001</v>
      </c>
      <c r="Z5" s="400"/>
      <c r="AA5" s="373"/>
      <c r="AB5" s="360"/>
      <c r="AC5" s="126">
        <f>(0/16)*100</f>
        <v>0</v>
      </c>
      <c r="AD5" s="357"/>
      <c r="AE5" s="358"/>
    </row>
    <row r="6" spans="1:31" s="14" customFormat="1" x14ac:dyDescent="0.2">
      <c r="A6" s="32" t="s">
        <v>6</v>
      </c>
      <c r="B6" s="50" t="s">
        <v>12</v>
      </c>
      <c r="C6" s="50" t="s">
        <v>47</v>
      </c>
      <c r="D6" s="101">
        <v>24</v>
      </c>
      <c r="E6" s="47">
        <v>10240</v>
      </c>
      <c r="F6" s="35">
        <v>500</v>
      </c>
      <c r="G6" s="44">
        <v>2.5</v>
      </c>
      <c r="H6" s="360"/>
      <c r="I6" s="27">
        <v>5.3149519999999999</v>
      </c>
      <c r="J6" s="27">
        <v>4.5944010000000004</v>
      </c>
      <c r="K6" s="27">
        <v>3.4253480000000001</v>
      </c>
      <c r="L6" s="27">
        <v>4.264856</v>
      </c>
      <c r="M6" s="27">
        <v>5.3038819999999998</v>
      </c>
      <c r="N6" s="27">
        <v>4.2952589999999997</v>
      </c>
      <c r="O6" s="27">
        <v>4.2711139999999999</v>
      </c>
      <c r="P6" s="27">
        <v>5.0393150000000002</v>
      </c>
      <c r="Q6" s="27">
        <v>5.8410529999999996</v>
      </c>
      <c r="R6" s="27">
        <v>5.1758490000000004</v>
      </c>
      <c r="S6" s="27">
        <v>3.9453179999999999</v>
      </c>
      <c r="T6" s="27">
        <v>3.478367</v>
      </c>
      <c r="U6" s="27">
        <v>4.8280149999999997</v>
      </c>
      <c r="V6" s="27">
        <v>4.4706299999999999</v>
      </c>
      <c r="W6" s="27">
        <v>3.8617330000000001</v>
      </c>
      <c r="X6" s="27">
        <v>5.0412990000000004</v>
      </c>
      <c r="Y6" s="81">
        <v>4.5719620000000001</v>
      </c>
      <c r="Z6" s="401">
        <v>4.3149259999999998</v>
      </c>
      <c r="AA6" s="373"/>
      <c r="AB6" s="360"/>
      <c r="AC6" s="126">
        <f>(6/16)*100</f>
        <v>37.5</v>
      </c>
      <c r="AD6" s="357">
        <f>(8/48)*100</f>
        <v>16.666666666666664</v>
      </c>
      <c r="AE6" s="358"/>
    </row>
    <row r="7" spans="1:31" s="14" customFormat="1" x14ac:dyDescent="0.2">
      <c r="A7" s="37" t="s">
        <v>6</v>
      </c>
      <c r="B7" s="4" t="s">
        <v>12</v>
      </c>
      <c r="C7" s="4" t="s">
        <v>47</v>
      </c>
      <c r="D7" s="100">
        <v>24</v>
      </c>
      <c r="E7" s="7">
        <v>20240</v>
      </c>
      <c r="F7" s="12">
        <v>926</v>
      </c>
      <c r="G7" s="13">
        <v>6.5</v>
      </c>
      <c r="H7" s="360"/>
      <c r="I7" s="28">
        <v>4.94123</v>
      </c>
      <c r="J7" s="28">
        <v>4.4330270000000001</v>
      </c>
      <c r="K7" s="28">
        <v>3.5569280000000001</v>
      </c>
      <c r="L7" s="28">
        <v>3.7262919999999999</v>
      </c>
      <c r="M7" s="28">
        <v>5.4058549999999999</v>
      </c>
      <c r="N7" s="28">
        <v>4.2706790000000003</v>
      </c>
      <c r="O7" s="28">
        <v>4.1793440000000004</v>
      </c>
      <c r="P7" s="28">
        <v>4.2211020000000001</v>
      </c>
      <c r="Q7" s="28">
        <v>4.8596510000000004</v>
      </c>
      <c r="R7" s="28">
        <v>4.5961850000000002</v>
      </c>
      <c r="S7" s="28">
        <v>3.9507319999999999</v>
      </c>
      <c r="T7" s="28">
        <v>3.409259</v>
      </c>
      <c r="U7" s="28">
        <v>4.1085570000000002</v>
      </c>
      <c r="V7" s="28">
        <v>3.460852</v>
      </c>
      <c r="W7" s="28">
        <v>4.9036559999999998</v>
      </c>
      <c r="X7" s="28">
        <v>4.7315959999999997</v>
      </c>
      <c r="Y7" s="82">
        <v>4.2971839999999997</v>
      </c>
      <c r="Z7" s="401"/>
      <c r="AA7" s="373"/>
      <c r="AB7" s="360"/>
      <c r="AC7" s="126">
        <f>(1/16)*100</f>
        <v>6.25</v>
      </c>
      <c r="AD7" s="357"/>
      <c r="AE7" s="358"/>
    </row>
    <row r="8" spans="1:31" s="14" customFormat="1" x14ac:dyDescent="0.2">
      <c r="A8" s="38" t="s">
        <v>6</v>
      </c>
      <c r="B8" s="52" t="s">
        <v>12</v>
      </c>
      <c r="C8" s="52" t="s">
        <v>47</v>
      </c>
      <c r="D8" s="102">
        <v>24</v>
      </c>
      <c r="E8" s="48">
        <v>30240</v>
      </c>
      <c r="F8" s="41">
        <v>3704</v>
      </c>
      <c r="G8" s="46">
        <v>15</v>
      </c>
      <c r="H8" s="360"/>
      <c r="I8" s="29">
        <v>4.8682129999999999</v>
      </c>
      <c r="J8" s="29">
        <v>4.6841629999999999</v>
      </c>
      <c r="K8" s="29">
        <v>2.965652</v>
      </c>
      <c r="L8" s="29">
        <v>2.8144079999999998</v>
      </c>
      <c r="M8" s="29">
        <v>3.5108090000000001</v>
      </c>
      <c r="N8" s="29">
        <v>3.8330329999999999</v>
      </c>
      <c r="O8" s="29">
        <v>4.8079749999999999</v>
      </c>
      <c r="P8" s="29">
        <v>4.432963</v>
      </c>
      <c r="Q8" s="29">
        <v>3.7053950000000002</v>
      </c>
      <c r="R8" s="29">
        <v>4.5823340000000004</v>
      </c>
      <c r="S8" s="29">
        <v>2.7689789999999999</v>
      </c>
      <c r="T8" s="29">
        <v>3.443241</v>
      </c>
      <c r="U8" s="29">
        <v>4.2984400000000003</v>
      </c>
      <c r="V8" s="29">
        <v>4.8151739999999998</v>
      </c>
      <c r="W8" s="29">
        <v>4.2909670000000002</v>
      </c>
      <c r="X8" s="29">
        <v>5.3883809999999999</v>
      </c>
      <c r="Y8" s="83">
        <v>4.0756329999999998</v>
      </c>
      <c r="Z8" s="401"/>
      <c r="AA8" s="373"/>
      <c r="AB8" s="360"/>
      <c r="AC8" s="126">
        <f>(1/16)*100</f>
        <v>6.25</v>
      </c>
      <c r="AD8" s="357"/>
      <c r="AE8" s="358"/>
    </row>
    <row r="9" spans="1:31" s="14" customFormat="1" x14ac:dyDescent="0.2">
      <c r="A9" s="32" t="s">
        <v>6</v>
      </c>
      <c r="B9" s="49" t="s">
        <v>13</v>
      </c>
      <c r="C9" s="50" t="s">
        <v>48</v>
      </c>
      <c r="D9" s="101">
        <v>40</v>
      </c>
      <c r="E9" s="47">
        <v>10400</v>
      </c>
      <c r="F9" s="35">
        <v>500</v>
      </c>
      <c r="G9" s="44">
        <v>3</v>
      </c>
      <c r="H9" s="360"/>
      <c r="I9" s="27">
        <v>4.5265880000000003</v>
      </c>
      <c r="J9" s="27">
        <v>4.6744199999999996</v>
      </c>
      <c r="K9" s="27">
        <v>3.5379390000000002</v>
      </c>
      <c r="L9" s="27">
        <v>4.1700480000000004</v>
      </c>
      <c r="M9" s="27">
        <v>4.4632569999999996</v>
      </c>
      <c r="N9" s="27">
        <v>3.7492070000000002</v>
      </c>
      <c r="O9" s="27">
        <v>5.0449510000000002</v>
      </c>
      <c r="P9" s="27">
        <v>4.3462209999999999</v>
      </c>
      <c r="Q9" s="27">
        <v>3.883175</v>
      </c>
      <c r="R9" s="27">
        <v>4.0341290000000001</v>
      </c>
      <c r="S9" s="27">
        <v>4.4029740000000004</v>
      </c>
      <c r="T9" s="27">
        <v>4.0342729999999998</v>
      </c>
      <c r="U9" s="27">
        <v>4.484318</v>
      </c>
      <c r="V9" s="27">
        <v>5.5161100000000003</v>
      </c>
      <c r="W9" s="27">
        <v>5.3084239999999996</v>
      </c>
      <c r="X9" s="27">
        <v>5.0033630000000002</v>
      </c>
      <c r="Y9" s="81">
        <v>4.4487120000000004</v>
      </c>
      <c r="Z9" s="401">
        <v>4.3297920000000003</v>
      </c>
      <c r="AA9" s="373"/>
      <c r="AB9" s="360"/>
      <c r="AC9" s="126">
        <f>(4/16)*100</f>
        <v>25</v>
      </c>
      <c r="AD9" s="357">
        <f>(8/48)*100</f>
        <v>16.666666666666664</v>
      </c>
      <c r="AE9" s="358"/>
    </row>
    <row r="10" spans="1:31" s="14" customFormat="1" x14ac:dyDescent="0.2">
      <c r="A10" s="37" t="s">
        <v>6</v>
      </c>
      <c r="B10" s="6" t="s">
        <v>13</v>
      </c>
      <c r="C10" s="4" t="s">
        <v>48</v>
      </c>
      <c r="D10" s="100">
        <v>40</v>
      </c>
      <c r="E10" s="7">
        <v>20400</v>
      </c>
      <c r="F10" s="12">
        <v>926</v>
      </c>
      <c r="G10" s="13">
        <v>6.5</v>
      </c>
      <c r="H10" s="360"/>
      <c r="I10" s="28">
        <v>4.5294340000000002</v>
      </c>
      <c r="J10" s="28">
        <v>4.0435600000000003</v>
      </c>
      <c r="K10" s="28">
        <v>3.351127</v>
      </c>
      <c r="L10" s="28">
        <v>4.1774519999999997</v>
      </c>
      <c r="M10" s="28">
        <v>4.5440769999999997</v>
      </c>
      <c r="N10" s="28">
        <v>3.4257919999999999</v>
      </c>
      <c r="O10" s="28">
        <v>5.0448370000000002</v>
      </c>
      <c r="P10" s="28">
        <v>4.1423209999999999</v>
      </c>
      <c r="Q10" s="28">
        <v>3.936477</v>
      </c>
      <c r="R10" s="28">
        <v>4.2237</v>
      </c>
      <c r="S10" s="28">
        <v>4.8198030000000003</v>
      </c>
      <c r="T10" s="28">
        <v>3.4449209999999999</v>
      </c>
      <c r="U10" s="28">
        <v>4.1358360000000003</v>
      </c>
      <c r="V10" s="28">
        <v>4.7954239999999997</v>
      </c>
      <c r="W10" s="28">
        <v>5.6850860000000001</v>
      </c>
      <c r="X10" s="28">
        <v>4.8985659999999998</v>
      </c>
      <c r="Y10" s="82">
        <v>4.3249009999999997</v>
      </c>
      <c r="Z10" s="401"/>
      <c r="AA10" s="373"/>
      <c r="AB10" s="360"/>
      <c r="AC10" s="126">
        <f>(2/16)*100</f>
        <v>12.5</v>
      </c>
      <c r="AD10" s="357"/>
      <c r="AE10" s="358"/>
    </row>
    <row r="11" spans="1:31" s="14" customFormat="1" x14ac:dyDescent="0.2">
      <c r="A11" s="38" t="s">
        <v>6</v>
      </c>
      <c r="B11" s="51" t="s">
        <v>13</v>
      </c>
      <c r="C11" s="52" t="s">
        <v>48</v>
      </c>
      <c r="D11" s="102">
        <v>40</v>
      </c>
      <c r="E11" s="48">
        <v>30400</v>
      </c>
      <c r="F11" s="41">
        <v>3704</v>
      </c>
      <c r="G11" s="46">
        <v>13</v>
      </c>
      <c r="H11" s="361"/>
      <c r="I11" s="29">
        <v>4.289949</v>
      </c>
      <c r="J11" s="29">
        <v>4.2913940000000004</v>
      </c>
      <c r="K11" s="29">
        <v>3.17056</v>
      </c>
      <c r="L11" s="29">
        <v>3.8432529999999998</v>
      </c>
      <c r="M11" s="29">
        <v>4.4526570000000003</v>
      </c>
      <c r="N11" s="29">
        <v>3.6820059999999999</v>
      </c>
      <c r="O11" s="29">
        <v>4.8233309999999996</v>
      </c>
      <c r="P11" s="29">
        <v>4.5330880000000002</v>
      </c>
      <c r="Q11" s="29">
        <v>4.0646579999999997</v>
      </c>
      <c r="R11" s="29">
        <v>4.1958849999999996</v>
      </c>
      <c r="S11" s="29">
        <v>3.9104239999999999</v>
      </c>
      <c r="T11" s="29">
        <v>3.64025</v>
      </c>
      <c r="U11" s="29">
        <v>2.9649450000000002</v>
      </c>
      <c r="V11" s="29">
        <v>4.9299540000000004</v>
      </c>
      <c r="W11" s="29">
        <v>5.2463259999999998</v>
      </c>
      <c r="X11" s="29">
        <v>5.4135220000000004</v>
      </c>
      <c r="Y11" s="83">
        <v>4.2157629999999999</v>
      </c>
      <c r="Z11" s="401"/>
      <c r="AA11" s="374"/>
      <c r="AB11" s="361"/>
      <c r="AC11" s="126">
        <f>(2/16)*100</f>
        <v>12.5</v>
      </c>
      <c r="AD11" s="357"/>
      <c r="AE11" s="358"/>
    </row>
    <row r="12" spans="1:31" s="14" customFormat="1" x14ac:dyDescent="0.2">
      <c r="A12" s="32" t="s">
        <v>6</v>
      </c>
      <c r="B12" s="43" t="s">
        <v>50</v>
      </c>
      <c r="C12" s="43" t="s">
        <v>51</v>
      </c>
      <c r="D12" s="100">
        <v>53</v>
      </c>
      <c r="E12" s="47">
        <v>10530</v>
      </c>
      <c r="F12" s="35">
        <v>500</v>
      </c>
      <c r="G12" s="44">
        <v>5</v>
      </c>
      <c r="H12" s="359" t="s">
        <v>83</v>
      </c>
      <c r="I12" s="27">
        <v>3.5514670000000002</v>
      </c>
      <c r="J12" s="27">
        <v>2.6618019999999998</v>
      </c>
      <c r="K12" s="27">
        <v>2.6948509999999999</v>
      </c>
      <c r="L12" s="27">
        <v>3.2135950000000002</v>
      </c>
      <c r="M12" s="27">
        <v>4.0976850000000002</v>
      </c>
      <c r="N12" s="27">
        <v>3.434015</v>
      </c>
      <c r="O12" s="27">
        <v>3.0841660000000002</v>
      </c>
      <c r="P12" s="27">
        <v>3.5839530000000002</v>
      </c>
      <c r="Q12" s="27">
        <v>3.3817710000000001</v>
      </c>
      <c r="R12" s="27">
        <v>5.2760020000000001</v>
      </c>
      <c r="S12" s="27">
        <v>4.3582590000000003</v>
      </c>
      <c r="T12" s="27">
        <v>4.045312</v>
      </c>
      <c r="U12" s="27">
        <v>4.2259900000000004</v>
      </c>
      <c r="V12" s="27">
        <v>3.9274870000000002</v>
      </c>
      <c r="W12" s="27">
        <v>5.0352129999999997</v>
      </c>
      <c r="X12" s="27">
        <v>4.9317529999999996</v>
      </c>
      <c r="Y12" s="90">
        <v>3.8439580000000002</v>
      </c>
      <c r="Z12" s="400">
        <v>3.8359190000000001</v>
      </c>
      <c r="AA12" s="402">
        <v>3.7639999999999998</v>
      </c>
      <c r="AB12" s="359" t="s">
        <v>83</v>
      </c>
      <c r="AC12" s="126">
        <f>(2/16)*100</f>
        <v>12.5</v>
      </c>
      <c r="AD12" s="357">
        <f>(4/48)*100</f>
        <v>8.3333333333333321</v>
      </c>
      <c r="AE12" s="358">
        <f>(7/96)*100</f>
        <v>7.291666666666667</v>
      </c>
    </row>
    <row r="13" spans="1:31" s="14" customFormat="1" x14ac:dyDescent="0.2">
      <c r="A13" s="37" t="s">
        <v>6</v>
      </c>
      <c r="B13" s="14" t="s">
        <v>50</v>
      </c>
      <c r="C13" s="14" t="s">
        <v>51</v>
      </c>
      <c r="D13" s="100">
        <v>53</v>
      </c>
      <c r="E13" s="7">
        <v>20530</v>
      </c>
      <c r="F13" s="12">
        <v>926</v>
      </c>
      <c r="G13" s="13">
        <v>6</v>
      </c>
      <c r="H13" s="360"/>
      <c r="I13" s="28">
        <v>3.2544879999999998</v>
      </c>
      <c r="J13" s="28">
        <v>3.1300910000000002</v>
      </c>
      <c r="K13" s="28">
        <v>2.5573239999999999</v>
      </c>
      <c r="L13" s="28">
        <v>3.5653950000000001</v>
      </c>
      <c r="M13" s="28">
        <v>4.3826840000000002</v>
      </c>
      <c r="N13" s="28">
        <v>3.750067</v>
      </c>
      <c r="O13" s="28">
        <v>2.4133770000000001</v>
      </c>
      <c r="P13" s="28">
        <v>3.7719149999999999</v>
      </c>
      <c r="Q13" s="28">
        <v>3.0699719999999999</v>
      </c>
      <c r="R13" s="28">
        <v>5.0834849999999996</v>
      </c>
      <c r="S13" s="28">
        <v>4.0095109999999998</v>
      </c>
      <c r="T13" s="28">
        <v>3.335474</v>
      </c>
      <c r="U13" s="28">
        <v>4.6699140000000003</v>
      </c>
      <c r="V13" s="28">
        <v>3.3630949999999999</v>
      </c>
      <c r="W13" s="28">
        <v>4.8947830000000003</v>
      </c>
      <c r="X13" s="28">
        <v>4.9989100000000004</v>
      </c>
      <c r="Y13" s="91">
        <v>3.7656550000000002</v>
      </c>
      <c r="Z13" s="400"/>
      <c r="AA13" s="403"/>
      <c r="AB13" s="360"/>
      <c r="AC13" s="126">
        <f>(1/16)*100</f>
        <v>6.25</v>
      </c>
      <c r="AD13" s="357"/>
      <c r="AE13" s="358"/>
    </row>
    <row r="14" spans="1:31" s="14" customFormat="1" x14ac:dyDescent="0.2">
      <c r="A14" s="38" t="s">
        <v>6</v>
      </c>
      <c r="B14" s="45" t="s">
        <v>50</v>
      </c>
      <c r="C14" s="45" t="s">
        <v>51</v>
      </c>
      <c r="D14" s="102">
        <v>53</v>
      </c>
      <c r="E14" s="48">
        <v>30530</v>
      </c>
      <c r="F14" s="41">
        <v>3704</v>
      </c>
      <c r="G14" s="46">
        <v>12</v>
      </c>
      <c r="H14" s="360"/>
      <c r="I14" s="29">
        <v>3.1906650000000001</v>
      </c>
      <c r="J14" s="29">
        <v>2.8563510000000001</v>
      </c>
      <c r="K14" s="29">
        <v>2.696186</v>
      </c>
      <c r="L14" s="29">
        <v>4.1180329999999996</v>
      </c>
      <c r="M14" s="29">
        <v>4.8899010000000001</v>
      </c>
      <c r="N14" s="29">
        <v>3.5592030000000001</v>
      </c>
      <c r="O14" s="29">
        <v>2.5061070000000001</v>
      </c>
      <c r="P14" s="29">
        <v>4.4803740000000003</v>
      </c>
      <c r="Q14" s="29">
        <v>2.867054</v>
      </c>
      <c r="R14" s="29">
        <v>4.685886</v>
      </c>
      <c r="S14" s="29">
        <v>3.3037320000000001</v>
      </c>
      <c r="T14" s="29">
        <v>4.2391680000000003</v>
      </c>
      <c r="U14" s="29">
        <v>4.5409389999999998</v>
      </c>
      <c r="V14" s="29">
        <v>4.4930620000000001</v>
      </c>
      <c r="W14" s="29">
        <v>4.7722930000000003</v>
      </c>
      <c r="X14" s="29">
        <v>5.1713380000000004</v>
      </c>
      <c r="Y14" s="92">
        <v>3.8981430000000001</v>
      </c>
      <c r="Z14" s="400"/>
      <c r="AA14" s="403"/>
      <c r="AB14" s="360"/>
      <c r="AC14" s="126">
        <f>(1/16)*100</f>
        <v>6.25</v>
      </c>
      <c r="AD14" s="357"/>
      <c r="AE14" s="358"/>
    </row>
    <row r="15" spans="1:31" s="14" customFormat="1" x14ac:dyDescent="0.2">
      <c r="A15" s="32" t="s">
        <v>6</v>
      </c>
      <c r="B15" s="43" t="s">
        <v>49</v>
      </c>
      <c r="C15" s="43" t="s">
        <v>52</v>
      </c>
      <c r="D15" s="100">
        <v>56</v>
      </c>
      <c r="E15" s="47">
        <v>10560</v>
      </c>
      <c r="F15" s="35">
        <v>500</v>
      </c>
      <c r="G15" s="44">
        <v>2.5</v>
      </c>
      <c r="H15" s="360"/>
      <c r="I15" s="27">
        <v>3.4295930000000001</v>
      </c>
      <c r="J15" s="27">
        <v>3.349113</v>
      </c>
      <c r="K15" s="27">
        <v>1.835512</v>
      </c>
      <c r="L15" s="27">
        <v>2.6847629999999998</v>
      </c>
      <c r="M15" s="27">
        <v>3.88435</v>
      </c>
      <c r="N15" s="27">
        <v>3.7585250000000001</v>
      </c>
      <c r="O15" s="27">
        <v>2.8923299999999998</v>
      </c>
      <c r="P15" s="27">
        <v>3.706191</v>
      </c>
      <c r="Q15" s="27">
        <v>2.792761</v>
      </c>
      <c r="R15" s="27">
        <v>4.4289310000000004</v>
      </c>
      <c r="S15" s="27">
        <v>3.7788050000000002</v>
      </c>
      <c r="T15" s="27">
        <v>2.9440279999999999</v>
      </c>
      <c r="U15" s="27">
        <v>4.4483730000000001</v>
      </c>
      <c r="V15" s="27">
        <v>4.1980760000000004</v>
      </c>
      <c r="W15" s="27">
        <v>4.4602459999999997</v>
      </c>
      <c r="X15" s="27">
        <v>4.9003949999999996</v>
      </c>
      <c r="Y15" s="90">
        <v>3.5932499999999998</v>
      </c>
      <c r="Z15" s="400">
        <v>3.692113</v>
      </c>
      <c r="AA15" s="403"/>
      <c r="AB15" s="360"/>
      <c r="AC15" s="126">
        <f>(0/16)*100</f>
        <v>0</v>
      </c>
      <c r="AD15" s="357">
        <f>(3/48)*100</f>
        <v>6.25</v>
      </c>
      <c r="AE15" s="358"/>
    </row>
    <row r="16" spans="1:31" s="14" customFormat="1" x14ac:dyDescent="0.2">
      <c r="A16" s="37" t="s">
        <v>6</v>
      </c>
      <c r="B16" s="14" t="s">
        <v>49</v>
      </c>
      <c r="C16" s="14" t="s">
        <v>52</v>
      </c>
      <c r="D16" s="100">
        <v>56</v>
      </c>
      <c r="E16" s="12">
        <v>20560</v>
      </c>
      <c r="F16" s="12">
        <v>926</v>
      </c>
      <c r="G16" s="13">
        <v>5</v>
      </c>
      <c r="H16" s="360"/>
      <c r="I16" s="28">
        <v>3.168371</v>
      </c>
      <c r="J16" s="28">
        <v>3.7424189999999999</v>
      </c>
      <c r="K16" s="28">
        <v>2.3106939999999998</v>
      </c>
      <c r="L16" s="28">
        <v>3.3525480000000001</v>
      </c>
      <c r="M16" s="28">
        <v>3.4409909999999999</v>
      </c>
      <c r="N16" s="28">
        <v>3.4179759999999999</v>
      </c>
      <c r="O16" s="28">
        <v>2.5927250000000002</v>
      </c>
      <c r="P16" s="28">
        <v>3.3561779999999999</v>
      </c>
      <c r="Q16" s="28">
        <v>3.262921</v>
      </c>
      <c r="R16" s="28">
        <v>4.3822099999999997</v>
      </c>
      <c r="S16" s="28">
        <v>4.1682499999999996</v>
      </c>
      <c r="T16" s="28">
        <v>3.639151</v>
      </c>
      <c r="U16" s="28">
        <v>4.313618</v>
      </c>
      <c r="V16" s="28">
        <v>4.4050140000000004</v>
      </c>
      <c r="W16" s="28">
        <v>4.5976309999999998</v>
      </c>
      <c r="X16" s="28">
        <v>4.4487819999999996</v>
      </c>
      <c r="Y16" s="91">
        <v>3.6624669999999999</v>
      </c>
      <c r="Z16" s="400"/>
      <c r="AA16" s="403"/>
      <c r="AB16" s="360"/>
      <c r="AC16" s="126">
        <f>(0/16)*100</f>
        <v>0</v>
      </c>
      <c r="AD16" s="357"/>
      <c r="AE16" s="358"/>
    </row>
    <row r="17" spans="1:31" s="14" customFormat="1" x14ac:dyDescent="0.2">
      <c r="A17" s="38" t="s">
        <v>6</v>
      </c>
      <c r="B17" s="45" t="s">
        <v>49</v>
      </c>
      <c r="C17" s="45" t="s">
        <v>52</v>
      </c>
      <c r="D17" s="102">
        <v>56</v>
      </c>
      <c r="E17" s="41">
        <v>30560</v>
      </c>
      <c r="F17" s="41">
        <v>3704</v>
      </c>
      <c r="G17" s="46">
        <v>16</v>
      </c>
      <c r="H17" s="361"/>
      <c r="I17" s="29">
        <v>3.2673269999999999</v>
      </c>
      <c r="J17" s="29">
        <v>3.512254</v>
      </c>
      <c r="K17" s="29">
        <v>2.2654589999999999</v>
      </c>
      <c r="L17" s="29">
        <v>3.545029</v>
      </c>
      <c r="M17" s="29">
        <v>4.662045</v>
      </c>
      <c r="N17" s="29">
        <v>4.1314409999999997</v>
      </c>
      <c r="O17" s="29">
        <v>2.464731</v>
      </c>
      <c r="P17" s="29">
        <v>3.726613</v>
      </c>
      <c r="Q17" s="29">
        <v>2.911851</v>
      </c>
      <c r="R17" s="29">
        <v>5.4476940000000003</v>
      </c>
      <c r="S17" s="29">
        <v>3.1473550000000001</v>
      </c>
      <c r="T17" s="29">
        <v>3.160272</v>
      </c>
      <c r="U17" s="29">
        <v>4.152317</v>
      </c>
      <c r="V17" s="29">
        <v>4.1143419999999997</v>
      </c>
      <c r="W17" s="29">
        <v>5.334943</v>
      </c>
      <c r="X17" s="29">
        <v>5.28627</v>
      </c>
      <c r="Y17" s="92">
        <v>3.820621</v>
      </c>
      <c r="Z17" s="400"/>
      <c r="AA17" s="404"/>
      <c r="AB17" s="361"/>
      <c r="AC17" s="126">
        <f>(3/16)*100</f>
        <v>18.75</v>
      </c>
      <c r="AD17" s="357"/>
      <c r="AE17" s="358"/>
    </row>
    <row r="18" spans="1:31" s="14" customFormat="1" x14ac:dyDescent="0.2">
      <c r="A18" s="32" t="s">
        <v>6</v>
      </c>
      <c r="B18" s="43" t="s">
        <v>16</v>
      </c>
      <c r="C18" s="43" t="s">
        <v>53</v>
      </c>
      <c r="D18" s="100">
        <v>64</v>
      </c>
      <c r="E18" s="35">
        <v>10640</v>
      </c>
      <c r="F18" s="35">
        <v>500</v>
      </c>
      <c r="G18" s="44">
        <v>2.5</v>
      </c>
      <c r="H18" s="359" t="s">
        <v>88</v>
      </c>
      <c r="I18" s="27">
        <v>5.1808870000000002</v>
      </c>
      <c r="J18" s="27">
        <v>3.5514990000000002</v>
      </c>
      <c r="K18" s="27">
        <v>4.5842619999999998</v>
      </c>
      <c r="L18" s="27">
        <v>3.943276</v>
      </c>
      <c r="M18" s="27">
        <v>5.73332</v>
      </c>
      <c r="N18" s="27">
        <v>5.8127779999999998</v>
      </c>
      <c r="O18" s="27">
        <v>4.2245600000000003</v>
      </c>
      <c r="P18" s="27">
        <v>5.0032139999999998</v>
      </c>
      <c r="Q18" s="27">
        <v>5.5130549999999996</v>
      </c>
      <c r="R18" s="27">
        <v>4.3909520000000004</v>
      </c>
      <c r="S18" s="27">
        <v>6.2061299999999999</v>
      </c>
      <c r="T18" s="27">
        <v>5.378457</v>
      </c>
      <c r="U18" s="27">
        <v>4.5940529999999997</v>
      </c>
      <c r="V18" s="27">
        <v>4.6186509999999998</v>
      </c>
      <c r="W18" s="27">
        <v>5.5181230000000001</v>
      </c>
      <c r="X18" s="27">
        <v>5.5357859999999999</v>
      </c>
      <c r="Y18" s="81">
        <v>4.9868129999999997</v>
      </c>
      <c r="Z18" s="401">
        <v>4.8175379999999999</v>
      </c>
      <c r="AA18" s="372">
        <v>4.7629999999999999</v>
      </c>
      <c r="AB18" s="359" t="s">
        <v>83</v>
      </c>
      <c r="AC18" s="126">
        <f>(9/16)*100</f>
        <v>56.25</v>
      </c>
      <c r="AD18" s="357">
        <f>(22/47)*100</f>
        <v>46.808510638297875</v>
      </c>
      <c r="AE18" s="358">
        <f>(47/95)*100</f>
        <v>49.473684210526315</v>
      </c>
    </row>
    <row r="19" spans="1:31" s="14" customFormat="1" x14ac:dyDescent="0.2">
      <c r="A19" s="37" t="s">
        <v>6</v>
      </c>
      <c r="B19" s="14" t="s">
        <v>16</v>
      </c>
      <c r="C19" s="14" t="s">
        <v>53</v>
      </c>
      <c r="D19" s="100">
        <v>64</v>
      </c>
      <c r="E19" s="12">
        <v>20640</v>
      </c>
      <c r="F19" s="12">
        <v>926</v>
      </c>
      <c r="G19" s="13">
        <v>9.5</v>
      </c>
      <c r="H19" s="360"/>
      <c r="I19" s="28">
        <v>5.2202349999999997</v>
      </c>
      <c r="J19" s="28">
        <v>4.614814</v>
      </c>
      <c r="K19" s="28">
        <v>4.7801689999999999</v>
      </c>
      <c r="L19" s="28">
        <v>3.8124950000000002</v>
      </c>
      <c r="M19" s="28">
        <v>6.8934600000000001</v>
      </c>
      <c r="N19" s="28">
        <v>5.547936</v>
      </c>
      <c r="O19" s="28">
        <v>4.5860799999999999</v>
      </c>
      <c r="P19" s="28">
        <v>4.7179130000000002</v>
      </c>
      <c r="Q19" s="28">
        <v>5.5381049999999998</v>
      </c>
      <c r="R19" s="28">
        <v>3.571968</v>
      </c>
      <c r="S19" s="28">
        <v>6.1475289999999996</v>
      </c>
      <c r="T19" s="28">
        <v>3.8362669999999999</v>
      </c>
      <c r="U19" s="28">
        <v>4.8514809999999997</v>
      </c>
      <c r="V19" s="28">
        <v>4.0855220000000001</v>
      </c>
      <c r="W19" s="28">
        <v>5.4315009999999999</v>
      </c>
      <c r="X19" s="28">
        <v>5.7892429999999999</v>
      </c>
      <c r="Y19" s="82">
        <v>4.9640449999999996</v>
      </c>
      <c r="Z19" s="401"/>
      <c r="AA19" s="373"/>
      <c r="AB19" s="360"/>
      <c r="AC19" s="126">
        <f>(7/16)*100</f>
        <v>43.75</v>
      </c>
      <c r="AD19" s="357"/>
      <c r="AE19" s="358"/>
    </row>
    <row r="20" spans="1:31" s="14" customFormat="1" x14ac:dyDescent="0.2">
      <c r="A20" s="38" t="s">
        <v>6</v>
      </c>
      <c r="B20" s="45" t="s">
        <v>16</v>
      </c>
      <c r="C20" s="45" t="s">
        <v>53</v>
      </c>
      <c r="D20" s="102">
        <v>64</v>
      </c>
      <c r="E20" s="41">
        <v>30640</v>
      </c>
      <c r="F20" s="41">
        <v>3704</v>
      </c>
      <c r="G20" s="46">
        <v>19</v>
      </c>
      <c r="H20" s="360"/>
      <c r="I20" s="29">
        <v>3.1234700000000002</v>
      </c>
      <c r="J20" s="29">
        <v>2.3828649999999998</v>
      </c>
      <c r="K20" s="29">
        <v>2.549185</v>
      </c>
      <c r="L20" s="29">
        <v>2.5639479999999999</v>
      </c>
      <c r="M20" s="29">
        <v>6.3923990000000002</v>
      </c>
      <c r="N20" s="29">
        <v>5.4268640000000001</v>
      </c>
      <c r="O20" s="29">
        <v>4.8954279999999999</v>
      </c>
      <c r="P20" s="29">
        <v>5.3602559999999997</v>
      </c>
      <c r="Q20" s="29">
        <v>5.0505180000000003</v>
      </c>
      <c r="R20" s="29">
        <v>4.7609839999999997</v>
      </c>
      <c r="S20" s="29">
        <v>6.0727349999999998</v>
      </c>
      <c r="T20" s="29">
        <v>3.648218</v>
      </c>
      <c r="U20" s="29">
        <v>4.860163</v>
      </c>
      <c r="V20" s="29">
        <v>4.096597</v>
      </c>
      <c r="W20" s="29" t="s">
        <v>73</v>
      </c>
      <c r="X20" s="29">
        <v>6.0269570000000003</v>
      </c>
      <c r="Y20" s="83">
        <v>4.4807059999999996</v>
      </c>
      <c r="Z20" s="401"/>
      <c r="AA20" s="373"/>
      <c r="AB20" s="360"/>
      <c r="AC20" s="126">
        <f>(6/15)*100</f>
        <v>40</v>
      </c>
      <c r="AD20" s="357"/>
      <c r="AE20" s="358"/>
    </row>
    <row r="21" spans="1:31" s="14" customFormat="1" x14ac:dyDescent="0.2">
      <c r="A21" s="32" t="s">
        <v>19</v>
      </c>
      <c r="B21" s="43" t="s">
        <v>20</v>
      </c>
      <c r="C21" s="43" t="s">
        <v>54</v>
      </c>
      <c r="D21" s="100">
        <v>72</v>
      </c>
      <c r="E21" s="35">
        <v>10720</v>
      </c>
      <c r="F21" s="35">
        <v>500</v>
      </c>
      <c r="G21" s="44">
        <v>2</v>
      </c>
      <c r="H21" s="360"/>
      <c r="I21" s="27">
        <v>5.1392499999999997</v>
      </c>
      <c r="J21" s="27">
        <v>3.6400090000000001</v>
      </c>
      <c r="K21" s="27">
        <v>1.2625919999999999</v>
      </c>
      <c r="L21" s="27">
        <v>5.0903809999999998</v>
      </c>
      <c r="M21" s="27">
        <v>5.9610219999999998</v>
      </c>
      <c r="N21" s="27">
        <v>5.3263249999999998</v>
      </c>
      <c r="O21" s="27">
        <v>4.418793</v>
      </c>
      <c r="P21" s="27">
        <v>5.6585349999999996</v>
      </c>
      <c r="Q21" s="27">
        <v>4.9934640000000003</v>
      </c>
      <c r="R21" s="27">
        <v>4.1669340000000004</v>
      </c>
      <c r="S21" s="27">
        <v>5.1798450000000003</v>
      </c>
      <c r="T21" s="27">
        <v>3.7407530000000002</v>
      </c>
      <c r="U21" s="27">
        <v>4.1177739999999998</v>
      </c>
      <c r="V21" s="27">
        <v>5.2944100000000001</v>
      </c>
      <c r="W21" s="27">
        <v>4.6949670000000001</v>
      </c>
      <c r="X21" s="27">
        <v>5.3019030000000003</v>
      </c>
      <c r="Y21" s="81">
        <v>4.6241849999999998</v>
      </c>
      <c r="Z21" s="401">
        <v>4.709981</v>
      </c>
      <c r="AA21" s="373"/>
      <c r="AB21" s="360"/>
      <c r="AC21" s="126">
        <f>(8/16)*100</f>
        <v>50</v>
      </c>
      <c r="AD21" s="357">
        <f>(25/48)*100</f>
        <v>52.083333333333336</v>
      </c>
      <c r="AE21" s="358"/>
    </row>
    <row r="22" spans="1:31" s="14" customFormat="1" x14ac:dyDescent="0.2">
      <c r="A22" s="37" t="s">
        <v>19</v>
      </c>
      <c r="B22" s="14" t="s">
        <v>20</v>
      </c>
      <c r="C22" s="14" t="s">
        <v>54</v>
      </c>
      <c r="D22" s="100">
        <v>72</v>
      </c>
      <c r="E22" s="12">
        <v>20720</v>
      </c>
      <c r="F22" s="12">
        <v>926</v>
      </c>
      <c r="G22" s="13">
        <v>3.5</v>
      </c>
      <c r="H22" s="360"/>
      <c r="I22" s="28">
        <v>4.4028640000000001</v>
      </c>
      <c r="J22" s="28">
        <v>3.5964420000000001</v>
      </c>
      <c r="K22" s="28">
        <v>2.5403259999999999</v>
      </c>
      <c r="L22" s="28">
        <v>5.0019549999999997</v>
      </c>
      <c r="M22" s="28">
        <v>5.9189210000000001</v>
      </c>
      <c r="N22" s="28">
        <v>5.189432</v>
      </c>
      <c r="O22" s="28">
        <v>5.1567610000000004</v>
      </c>
      <c r="P22" s="28">
        <v>5.82</v>
      </c>
      <c r="Q22" s="28">
        <v>4.7057880000000001</v>
      </c>
      <c r="R22" s="28">
        <v>4.403543</v>
      </c>
      <c r="S22" s="28">
        <v>5.1828479999999999</v>
      </c>
      <c r="T22" s="28">
        <v>2.3390019999999998</v>
      </c>
      <c r="U22" s="28">
        <v>4.8561940000000003</v>
      </c>
      <c r="V22" s="28">
        <v>5.0175749999999999</v>
      </c>
      <c r="W22" s="28">
        <v>4.6209730000000002</v>
      </c>
      <c r="X22" s="28">
        <v>6.1194670000000002</v>
      </c>
      <c r="Y22" s="82">
        <v>4.6795059999999999</v>
      </c>
      <c r="Z22" s="401"/>
      <c r="AA22" s="373"/>
      <c r="AB22" s="360"/>
      <c r="AC22" s="126">
        <f>(8/16)*100</f>
        <v>50</v>
      </c>
      <c r="AD22" s="357"/>
      <c r="AE22" s="358"/>
    </row>
    <row r="23" spans="1:31" x14ac:dyDescent="0.2">
      <c r="A23" s="38" t="s">
        <v>19</v>
      </c>
      <c r="B23" s="45" t="s">
        <v>20</v>
      </c>
      <c r="C23" s="45" t="s">
        <v>54</v>
      </c>
      <c r="D23" s="102">
        <v>72</v>
      </c>
      <c r="E23" s="41">
        <v>30720</v>
      </c>
      <c r="F23" s="41">
        <v>3704</v>
      </c>
      <c r="G23" s="46">
        <v>13.5</v>
      </c>
      <c r="H23" s="361"/>
      <c r="I23" s="29">
        <v>5.2575380000000003</v>
      </c>
      <c r="J23" s="29">
        <v>3.2194180000000001</v>
      </c>
      <c r="K23" s="29">
        <v>3.5072410000000001</v>
      </c>
      <c r="L23" s="29">
        <v>5.014602</v>
      </c>
      <c r="M23" s="29">
        <v>5.4816799999999999</v>
      </c>
      <c r="N23" s="29">
        <v>5.4636990000000001</v>
      </c>
      <c r="O23" s="29">
        <v>5.6735220000000002</v>
      </c>
      <c r="P23" s="29">
        <v>5.828341</v>
      </c>
      <c r="Q23" s="29">
        <v>4.4297089999999999</v>
      </c>
      <c r="R23" s="29">
        <v>4.450672</v>
      </c>
      <c r="S23" s="29">
        <v>5.3090270000000004</v>
      </c>
      <c r="T23" s="29">
        <v>3.357621</v>
      </c>
      <c r="U23" s="29">
        <v>5.1901270000000004</v>
      </c>
      <c r="V23" s="29">
        <v>4.7629469999999996</v>
      </c>
      <c r="W23" s="29">
        <v>3.9367740000000002</v>
      </c>
      <c r="X23" s="29">
        <v>6.3371110000000002</v>
      </c>
      <c r="Y23" s="83">
        <v>4.8262520000000002</v>
      </c>
      <c r="Z23" s="401"/>
      <c r="AA23" s="374"/>
      <c r="AB23" s="361"/>
      <c r="AC23" s="126">
        <f>(9/16)*100</f>
        <v>56.25</v>
      </c>
      <c r="AD23" s="357"/>
      <c r="AE23" s="358"/>
    </row>
    <row r="24" spans="1:31" ht="12.75" customHeight="1" x14ac:dyDescent="0.2">
      <c r="A24" s="32" t="s">
        <v>19</v>
      </c>
      <c r="B24" s="33" t="s">
        <v>24</v>
      </c>
      <c r="C24" s="33" t="s">
        <v>25</v>
      </c>
      <c r="D24" s="100">
        <v>601</v>
      </c>
      <c r="E24" s="34">
        <v>16010</v>
      </c>
      <c r="F24" s="35">
        <v>500</v>
      </c>
      <c r="G24" s="36">
        <v>5</v>
      </c>
      <c r="H24" s="399" t="s">
        <v>84</v>
      </c>
      <c r="I24" s="27">
        <v>6.4498660000000001</v>
      </c>
      <c r="J24" s="27">
        <v>3.554087</v>
      </c>
      <c r="K24" s="27">
        <v>4.5568270000000002</v>
      </c>
      <c r="L24" s="27">
        <v>4.2032319999999999</v>
      </c>
      <c r="M24" s="27">
        <v>6.9268229999999997</v>
      </c>
      <c r="N24" s="27">
        <v>5.4378419999999998</v>
      </c>
      <c r="O24" s="27">
        <v>6.031193</v>
      </c>
      <c r="P24" s="27">
        <v>5.0943139999999998</v>
      </c>
      <c r="Q24" s="27">
        <v>6.7895750000000001</v>
      </c>
      <c r="R24" s="27">
        <v>6.1725029999999999</v>
      </c>
      <c r="S24" s="27">
        <v>4.9840720000000003</v>
      </c>
      <c r="T24" s="27">
        <v>4.8539180000000002</v>
      </c>
      <c r="U24" s="27">
        <v>5.6888350000000001</v>
      </c>
      <c r="V24" s="27">
        <v>4.9598069999999996</v>
      </c>
      <c r="W24" s="27">
        <v>5.6133139999999999</v>
      </c>
      <c r="X24" s="27">
        <v>6.4398770000000001</v>
      </c>
      <c r="Y24" s="30">
        <v>5.4847549999999998</v>
      </c>
      <c r="Z24" s="405">
        <v>5.2078600000000002</v>
      </c>
      <c r="AA24" s="356">
        <v>5.2080000000000002</v>
      </c>
      <c r="AB24" s="362" t="s">
        <v>87</v>
      </c>
      <c r="AC24" s="126">
        <f>(10/16)*100</f>
        <v>62.5</v>
      </c>
      <c r="AD24" s="357">
        <f>(27/48)*100</f>
        <v>56.25</v>
      </c>
      <c r="AE24" s="358">
        <f>(27/48)*100</f>
        <v>56.25</v>
      </c>
    </row>
    <row r="25" spans="1:31" ht="12.75" customHeight="1" x14ac:dyDescent="0.2">
      <c r="A25" s="37" t="s">
        <v>19</v>
      </c>
      <c r="B25" s="15" t="s">
        <v>24</v>
      </c>
      <c r="C25" s="15" t="s">
        <v>25</v>
      </c>
      <c r="D25" s="100">
        <v>601</v>
      </c>
      <c r="E25" s="11">
        <v>26010</v>
      </c>
      <c r="F25" s="12">
        <v>926</v>
      </c>
      <c r="G25" s="9">
        <v>16</v>
      </c>
      <c r="H25" s="399"/>
      <c r="I25" s="28">
        <v>5.3420319999999997</v>
      </c>
      <c r="J25" s="28">
        <v>3.437341</v>
      </c>
      <c r="K25" s="28">
        <v>5.1416089999999999</v>
      </c>
      <c r="L25" s="28">
        <v>3.901977</v>
      </c>
      <c r="M25" s="28">
        <v>6.4909699999999999</v>
      </c>
      <c r="N25" s="28">
        <v>5.7313489999999998</v>
      </c>
      <c r="O25" s="28">
        <v>6.4329710000000002</v>
      </c>
      <c r="P25" s="28">
        <v>6.413856</v>
      </c>
      <c r="Q25" s="28">
        <v>5.8496649999999999</v>
      </c>
      <c r="R25" s="28">
        <v>6.2787860000000002</v>
      </c>
      <c r="S25" s="28">
        <v>4.5531230000000003</v>
      </c>
      <c r="T25" s="28">
        <v>4.419467</v>
      </c>
      <c r="U25" s="28">
        <v>4.7169790000000003</v>
      </c>
      <c r="V25" s="28">
        <v>4.6208210000000003</v>
      </c>
      <c r="W25" s="28">
        <v>5.6870810000000001</v>
      </c>
      <c r="X25" s="28">
        <v>6.8555890000000002</v>
      </c>
      <c r="Y25" s="31">
        <v>5.3671009999999999</v>
      </c>
      <c r="Z25" s="405"/>
      <c r="AA25" s="356"/>
      <c r="AB25" s="363"/>
      <c r="AC25" s="126">
        <f>(10/16)*100</f>
        <v>62.5</v>
      </c>
      <c r="AD25" s="357"/>
      <c r="AE25" s="358"/>
    </row>
    <row r="26" spans="1:31" ht="12.75" customHeight="1" x14ac:dyDescent="0.2">
      <c r="A26" s="38" t="s">
        <v>19</v>
      </c>
      <c r="B26" s="39" t="s">
        <v>24</v>
      </c>
      <c r="C26" s="39" t="s">
        <v>25</v>
      </c>
      <c r="D26" s="102">
        <v>601</v>
      </c>
      <c r="E26" s="40">
        <v>36010</v>
      </c>
      <c r="F26" s="41">
        <v>3704</v>
      </c>
      <c r="G26" s="42">
        <v>27</v>
      </c>
      <c r="H26" s="359"/>
      <c r="I26" s="29">
        <v>4.6976719999999998</v>
      </c>
      <c r="J26" s="29">
        <v>4.0979539999999997</v>
      </c>
      <c r="K26" s="29">
        <v>4.8361999999999998</v>
      </c>
      <c r="L26" s="29">
        <v>3.8215430000000001</v>
      </c>
      <c r="M26" s="29">
        <v>4.898409</v>
      </c>
      <c r="N26" s="29">
        <v>5.4292590000000001</v>
      </c>
      <c r="O26" s="29">
        <v>5.0925000000000002</v>
      </c>
      <c r="P26" s="29">
        <v>5.1476740000000003</v>
      </c>
      <c r="Q26" s="29">
        <v>5.3863219999999998</v>
      </c>
      <c r="R26" s="29">
        <v>6.0981439999999996</v>
      </c>
      <c r="S26" s="29">
        <v>3.9945219999999999</v>
      </c>
      <c r="T26" s="29">
        <v>3.6129639999999998</v>
      </c>
      <c r="U26" s="29">
        <v>4.1211609999999999</v>
      </c>
      <c r="V26" s="29">
        <v>3.1832159999999998</v>
      </c>
      <c r="W26" s="29">
        <v>5.6844539999999997</v>
      </c>
      <c r="X26" s="29">
        <v>6.2455939999999996</v>
      </c>
      <c r="Y26" s="83">
        <v>4.7717239999999999</v>
      </c>
      <c r="Z26" s="405"/>
      <c r="AA26" s="356"/>
      <c r="AB26" s="364"/>
      <c r="AC26" s="126">
        <f>(7/16)*100</f>
        <v>43.75</v>
      </c>
      <c r="AD26" s="357"/>
      <c r="AE26" s="358"/>
    </row>
    <row r="27" spans="1:31" ht="26.25" customHeight="1" x14ac:dyDescent="0.2">
      <c r="D27" s="100"/>
      <c r="H27" s="62"/>
      <c r="J27" s="23"/>
      <c r="K27" s="23"/>
      <c r="Z27" s="128"/>
      <c r="AA27" s="352" t="s">
        <v>86</v>
      </c>
      <c r="AB27" s="352"/>
      <c r="AC27" s="352"/>
      <c r="AD27" s="352"/>
      <c r="AE27" s="352"/>
    </row>
    <row r="28" spans="1:31" x14ac:dyDescent="0.2">
      <c r="D28" s="100"/>
      <c r="H28" s="61"/>
      <c r="J28" s="23"/>
      <c r="K28" s="23"/>
    </row>
    <row r="29" spans="1:31" x14ac:dyDescent="0.2">
      <c r="D29" s="100"/>
      <c r="H29" s="61"/>
      <c r="J29" s="23"/>
      <c r="K29" s="23"/>
    </row>
    <row r="30" spans="1:31" x14ac:dyDescent="0.2">
      <c r="J30" s="23"/>
      <c r="K30" s="23"/>
    </row>
    <row r="31" spans="1:31" x14ac:dyDescent="0.2">
      <c r="J31" s="23"/>
      <c r="K31" s="23"/>
    </row>
    <row r="32" spans="1:31" x14ac:dyDescent="0.2">
      <c r="K32" s="23"/>
    </row>
    <row r="33" spans="2:11" x14ac:dyDescent="0.2">
      <c r="B33" s="5"/>
      <c r="D33" s="100"/>
      <c r="K33" s="23"/>
    </row>
    <row r="34" spans="2:11" x14ac:dyDescent="0.2">
      <c r="B34" s="5"/>
      <c r="D34" s="100"/>
      <c r="K34" s="23"/>
    </row>
    <row r="35" spans="2:11" x14ac:dyDescent="0.2">
      <c r="B35" s="5"/>
      <c r="D35" s="100"/>
      <c r="K35" s="23"/>
    </row>
    <row r="36" spans="2:11" x14ac:dyDescent="0.2">
      <c r="B36" s="5"/>
      <c r="D36" s="100"/>
    </row>
    <row r="37" spans="2:11" x14ac:dyDescent="0.2">
      <c r="B37" s="5"/>
      <c r="D37" s="100"/>
    </row>
    <row r="38" spans="2:11" x14ac:dyDescent="0.2">
      <c r="B38" s="5"/>
      <c r="D38" s="100"/>
    </row>
  </sheetData>
  <mergeCells count="35">
    <mergeCell ref="Y1:AA1"/>
    <mergeCell ref="AC1:AE1"/>
    <mergeCell ref="AD3:AD5"/>
    <mergeCell ref="AE3:AE11"/>
    <mergeCell ref="AD6:AD8"/>
    <mergeCell ref="AD9:AD11"/>
    <mergeCell ref="Z6:Z8"/>
    <mergeCell ref="AB3:AB11"/>
    <mergeCell ref="Z9:Z11"/>
    <mergeCell ref="H24:H26"/>
    <mergeCell ref="AA3:AA11"/>
    <mergeCell ref="AA24:AA26"/>
    <mergeCell ref="Z15:Z17"/>
    <mergeCell ref="Z3:Z5"/>
    <mergeCell ref="Z21:Z23"/>
    <mergeCell ref="Z12:Z14"/>
    <mergeCell ref="AA12:AA17"/>
    <mergeCell ref="H3:H11"/>
    <mergeCell ref="H12:H17"/>
    <mergeCell ref="H18:H23"/>
    <mergeCell ref="Z18:Z20"/>
    <mergeCell ref="Z24:Z26"/>
    <mergeCell ref="AD24:AD26"/>
    <mergeCell ref="AE24:AE26"/>
    <mergeCell ref="AA27:AE27"/>
    <mergeCell ref="AD12:AD14"/>
    <mergeCell ref="AE12:AE17"/>
    <mergeCell ref="AD15:AD17"/>
    <mergeCell ref="AD18:AD20"/>
    <mergeCell ref="AE18:AE23"/>
    <mergeCell ref="AD21:AD23"/>
    <mergeCell ref="AA18:AA23"/>
    <mergeCell ref="AB12:AB17"/>
    <mergeCell ref="AB18:AB23"/>
    <mergeCell ref="AB24:AB26"/>
  </mergeCells>
  <phoneticPr fontId="4" type="noConversion"/>
  <pageMargins left="0.75" right="0.75" top="1" bottom="1" header="0.5" footer="0.5"/>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27"/>
  <sheetViews>
    <sheetView topLeftCell="P6" workbookViewId="0">
      <selection activeCell="Y35" sqref="Y35"/>
    </sheetView>
  </sheetViews>
  <sheetFormatPr defaultRowHeight="12.75" x14ac:dyDescent="0.2"/>
  <cols>
    <col min="1" max="1" width="5.7109375" style="12" customWidth="1"/>
    <col min="2" max="2" width="22.85546875" style="15" bestFit="1" customWidth="1"/>
    <col min="3" max="3" width="38" style="15" bestFit="1" customWidth="1"/>
    <col min="4" max="4" width="10.42578125" style="15" customWidth="1"/>
    <col min="5" max="5" width="9.7109375" style="12" bestFit="1" customWidth="1"/>
    <col min="6" max="6" width="14.140625" style="15" customWidth="1"/>
    <col min="7" max="7" width="11.28515625" style="15" bestFit="1" customWidth="1"/>
    <col min="8" max="8" width="17.5703125" style="15" bestFit="1" customWidth="1"/>
    <col min="9" max="19" width="9.140625" style="15"/>
    <col min="20" max="20" width="11.28515625" style="15" customWidth="1"/>
    <col min="21" max="21" width="11.7109375" style="15" customWidth="1"/>
    <col min="22" max="22" width="9.140625" style="15"/>
    <col min="23" max="23" width="10.5703125" style="15" customWidth="1"/>
    <col min="24" max="24" width="10.7109375" style="15" customWidth="1"/>
    <col min="25" max="25" width="13" style="15" customWidth="1"/>
    <col min="26" max="26" width="11.5703125" style="15" customWidth="1"/>
    <col min="27" max="27" width="11.5703125" style="15" bestFit="1" customWidth="1"/>
    <col min="28" max="28" width="12.28515625" style="15" bestFit="1" customWidth="1"/>
    <col min="29" max="29" width="12.42578125" style="15" bestFit="1" customWidth="1"/>
    <col min="30" max="30" width="15.5703125" style="15" bestFit="1" customWidth="1"/>
    <col min="31" max="16384" width="9.140625" style="15"/>
  </cols>
  <sheetData>
    <row r="1" spans="1:30" ht="42" customHeight="1" x14ac:dyDescent="0.2">
      <c r="Y1" s="371" t="s">
        <v>90</v>
      </c>
      <c r="Z1" s="371"/>
      <c r="AA1" s="371"/>
      <c r="AB1" s="371" t="s">
        <v>94</v>
      </c>
      <c r="AC1" s="371"/>
      <c r="AD1" s="371"/>
    </row>
    <row r="2" spans="1:30" s="10" customFormat="1" ht="45" customHeight="1" x14ac:dyDescent="0.2">
      <c r="A2" s="1" t="s">
        <v>0</v>
      </c>
      <c r="B2" s="2" t="s">
        <v>1</v>
      </c>
      <c r="C2" s="1" t="s">
        <v>2</v>
      </c>
      <c r="D2" s="3" t="s">
        <v>89</v>
      </c>
      <c r="E2" s="1" t="s">
        <v>81</v>
      </c>
      <c r="F2" s="1" t="s">
        <v>4</v>
      </c>
      <c r="G2" s="1" t="s">
        <v>5</v>
      </c>
      <c r="H2" s="1" t="s">
        <v>85</v>
      </c>
      <c r="I2" s="3" t="s">
        <v>28</v>
      </c>
      <c r="J2" s="3" t="s">
        <v>29</v>
      </c>
      <c r="K2" s="3" t="s">
        <v>30</v>
      </c>
      <c r="L2" s="3" t="s">
        <v>31</v>
      </c>
      <c r="M2" s="3" t="s">
        <v>45</v>
      </c>
      <c r="N2" s="3" t="s">
        <v>35</v>
      </c>
      <c r="O2" s="3" t="s">
        <v>36</v>
      </c>
      <c r="P2" s="3" t="s">
        <v>34</v>
      </c>
      <c r="Q2" s="3" t="s">
        <v>37</v>
      </c>
      <c r="R2" s="3" t="s">
        <v>38</v>
      </c>
      <c r="S2" s="3" t="s">
        <v>39</v>
      </c>
      <c r="T2" s="3" t="s">
        <v>40</v>
      </c>
      <c r="U2" s="3" t="s">
        <v>41</v>
      </c>
      <c r="V2" s="3" t="s">
        <v>42</v>
      </c>
      <c r="W2" s="3" t="s">
        <v>43</v>
      </c>
      <c r="X2" s="24" t="s">
        <v>44</v>
      </c>
      <c r="Y2" s="25" t="s">
        <v>71</v>
      </c>
      <c r="Z2" s="26" t="s">
        <v>72</v>
      </c>
      <c r="AA2" s="26" t="s">
        <v>80</v>
      </c>
      <c r="AB2" s="123" t="s">
        <v>91</v>
      </c>
      <c r="AC2" s="123" t="s">
        <v>92</v>
      </c>
      <c r="AD2" s="123" t="s">
        <v>93</v>
      </c>
    </row>
    <row r="3" spans="1:30" s="14" customFormat="1" x14ac:dyDescent="0.2">
      <c r="A3" s="32" t="s">
        <v>6</v>
      </c>
      <c r="B3" s="50" t="s">
        <v>9</v>
      </c>
      <c r="C3" s="50" t="s">
        <v>46</v>
      </c>
      <c r="D3" s="101">
        <v>8</v>
      </c>
      <c r="E3" s="47">
        <v>10080</v>
      </c>
      <c r="F3" s="35">
        <v>500</v>
      </c>
      <c r="G3" s="44">
        <v>2</v>
      </c>
      <c r="H3" s="359" t="s">
        <v>82</v>
      </c>
      <c r="I3" s="27">
        <v>4.5228970000000004</v>
      </c>
      <c r="J3" s="27">
        <v>3.9715959999999999</v>
      </c>
      <c r="K3" s="27">
        <v>4.0355759999999998</v>
      </c>
      <c r="L3" s="27">
        <v>5.5910510000000002</v>
      </c>
      <c r="M3" s="27">
        <v>5.2132930000000002</v>
      </c>
      <c r="N3" s="27">
        <v>4.6073069999999996</v>
      </c>
      <c r="O3" s="27">
        <v>4.0244669999999996</v>
      </c>
      <c r="P3" s="27">
        <v>4.2984419999999997</v>
      </c>
      <c r="Q3" s="27">
        <v>3.6534490000000002</v>
      </c>
      <c r="R3" s="27">
        <v>3.3782380000000001</v>
      </c>
      <c r="S3" s="27">
        <v>4.3917330000000003</v>
      </c>
      <c r="T3" s="27">
        <v>3.172339</v>
      </c>
      <c r="U3" s="27">
        <v>3.6700759999999999</v>
      </c>
      <c r="V3" s="27">
        <v>3.8902139999999998</v>
      </c>
      <c r="W3" s="27">
        <v>4.3846090000000002</v>
      </c>
      <c r="X3" s="27">
        <v>2.2916180000000002</v>
      </c>
      <c r="Y3" s="63">
        <v>4.0685570000000002</v>
      </c>
      <c r="Z3" s="408">
        <v>3.984143</v>
      </c>
      <c r="AA3" s="372">
        <v>4.4870000000000001</v>
      </c>
      <c r="AB3" s="126">
        <f>(2/16)*100</f>
        <v>12.5</v>
      </c>
      <c r="AC3" s="357">
        <f>(5/48)*100</f>
        <v>10.416666666666668</v>
      </c>
      <c r="AD3" s="358">
        <f>(45/144)*100</f>
        <v>31.25</v>
      </c>
    </row>
    <row r="4" spans="1:30" s="14" customFormat="1" x14ac:dyDescent="0.2">
      <c r="A4" s="37" t="s">
        <v>6</v>
      </c>
      <c r="B4" s="4" t="s">
        <v>9</v>
      </c>
      <c r="C4" s="4" t="s">
        <v>46</v>
      </c>
      <c r="D4" s="100">
        <v>8</v>
      </c>
      <c r="E4" s="7">
        <v>20080</v>
      </c>
      <c r="F4" s="12">
        <v>926</v>
      </c>
      <c r="G4" s="13">
        <v>4.5</v>
      </c>
      <c r="H4" s="360"/>
      <c r="I4" s="28">
        <v>3.0811790000000001</v>
      </c>
      <c r="J4" s="28">
        <v>4.6664219999999998</v>
      </c>
      <c r="K4" s="28">
        <v>5.0645470000000001</v>
      </c>
      <c r="L4" s="28">
        <v>5.3942819999999996</v>
      </c>
      <c r="M4" s="28">
        <v>5.3652069999999998</v>
      </c>
      <c r="N4" s="28">
        <v>4.037947</v>
      </c>
      <c r="O4" s="28">
        <v>4.7167729999999999</v>
      </c>
      <c r="P4" s="28">
        <v>4.7095989999999999</v>
      </c>
      <c r="Q4" s="28">
        <v>4.3554750000000002</v>
      </c>
      <c r="R4" s="28">
        <v>3.4012889999999998</v>
      </c>
      <c r="S4" s="28">
        <v>4.4031760000000002</v>
      </c>
      <c r="T4" s="28">
        <v>3.6145209999999999</v>
      </c>
      <c r="U4" s="28">
        <v>3.9809450000000002</v>
      </c>
      <c r="V4" s="28">
        <v>3.1662569999999999</v>
      </c>
      <c r="W4" s="28">
        <v>4.3672060000000004</v>
      </c>
      <c r="X4" s="28">
        <v>1.8234319999999999</v>
      </c>
      <c r="Y4" s="63">
        <v>4.1342660000000002</v>
      </c>
      <c r="Z4" s="408"/>
      <c r="AA4" s="373"/>
      <c r="AB4" s="126">
        <f>(3/16)*100</f>
        <v>18.75</v>
      </c>
      <c r="AC4" s="357"/>
      <c r="AD4" s="358"/>
    </row>
    <row r="5" spans="1:30" s="14" customFormat="1" x14ac:dyDescent="0.2">
      <c r="A5" s="38" t="s">
        <v>6</v>
      </c>
      <c r="B5" s="52" t="s">
        <v>9</v>
      </c>
      <c r="C5" s="52" t="s">
        <v>46</v>
      </c>
      <c r="D5" s="102">
        <v>8</v>
      </c>
      <c r="E5" s="48">
        <v>30080</v>
      </c>
      <c r="F5" s="41">
        <v>3704</v>
      </c>
      <c r="G5" s="46">
        <v>13</v>
      </c>
      <c r="H5" s="360"/>
      <c r="I5" s="29">
        <v>3.7128559999999999</v>
      </c>
      <c r="J5" s="29">
        <v>3.721028</v>
      </c>
      <c r="K5" s="29">
        <v>3.962186</v>
      </c>
      <c r="L5" s="29">
        <v>4.9390359999999998</v>
      </c>
      <c r="M5" s="29">
        <v>4.1712680000000004</v>
      </c>
      <c r="N5" s="29">
        <v>3.6129090000000001</v>
      </c>
      <c r="O5" s="29">
        <v>3.875877</v>
      </c>
      <c r="P5" s="29">
        <v>4.0582839999999996</v>
      </c>
      <c r="Q5" s="29">
        <v>3.5658650000000001</v>
      </c>
      <c r="R5" s="29">
        <v>2.95662</v>
      </c>
      <c r="S5" s="29">
        <v>4.3790870000000002</v>
      </c>
      <c r="T5" s="29">
        <v>3.9845799999999998</v>
      </c>
      <c r="U5" s="29">
        <v>4.5308590000000004</v>
      </c>
      <c r="V5" s="29">
        <v>2.112215</v>
      </c>
      <c r="W5" s="29">
        <v>3.6138629999999998</v>
      </c>
      <c r="X5" s="29">
        <v>2.7971889999999999</v>
      </c>
      <c r="Y5" s="53">
        <v>3.7496079999999998</v>
      </c>
      <c r="Z5" s="408"/>
      <c r="AA5" s="373"/>
      <c r="AB5" s="126">
        <f>(0/16)*100</f>
        <v>0</v>
      </c>
      <c r="AC5" s="357"/>
      <c r="AD5" s="358"/>
    </row>
    <row r="6" spans="1:30" s="14" customFormat="1" x14ac:dyDescent="0.2">
      <c r="A6" s="32" t="s">
        <v>6</v>
      </c>
      <c r="B6" s="50" t="s">
        <v>12</v>
      </c>
      <c r="C6" s="50" t="s">
        <v>47</v>
      </c>
      <c r="D6" s="101">
        <v>24</v>
      </c>
      <c r="E6" s="47">
        <v>10240</v>
      </c>
      <c r="F6" s="35">
        <v>500</v>
      </c>
      <c r="G6" s="44">
        <v>2.5</v>
      </c>
      <c r="H6" s="360"/>
      <c r="I6" s="27">
        <v>4.6317849999999998</v>
      </c>
      <c r="J6" s="27">
        <v>4.9158929999999996</v>
      </c>
      <c r="K6" s="27">
        <v>6.3612109999999999</v>
      </c>
      <c r="L6" s="27">
        <v>5.9317659999999997</v>
      </c>
      <c r="M6" s="27">
        <v>5.5967370000000001</v>
      </c>
      <c r="N6" s="27">
        <v>5.3505500000000001</v>
      </c>
      <c r="O6" s="27">
        <v>5.2737699999999998</v>
      </c>
      <c r="P6" s="27">
        <v>5.6964519999999998</v>
      </c>
      <c r="Q6" s="27">
        <v>5.8698870000000003</v>
      </c>
      <c r="R6" s="27">
        <v>3.983768</v>
      </c>
      <c r="S6" s="27">
        <v>4.7032670000000003</v>
      </c>
      <c r="T6" s="27">
        <v>3.1364269999999999</v>
      </c>
      <c r="U6" s="27">
        <v>4.6739990000000002</v>
      </c>
      <c r="V6" s="27">
        <v>3.7296610000000001</v>
      </c>
      <c r="W6" s="27">
        <v>3.69333</v>
      </c>
      <c r="X6" s="27">
        <v>2.6761509999999999</v>
      </c>
      <c r="Y6" s="63">
        <v>4.7640409999999997</v>
      </c>
      <c r="Z6" s="406">
        <v>4.6434860000000002</v>
      </c>
      <c r="AA6" s="373"/>
      <c r="AB6" s="126">
        <f>(7/16)*100</f>
        <v>43.75</v>
      </c>
      <c r="AC6" s="357">
        <f>(19/48)*100</f>
        <v>39.583333333333329</v>
      </c>
      <c r="AD6" s="358"/>
    </row>
    <row r="7" spans="1:30" s="14" customFormat="1" x14ac:dyDescent="0.2">
      <c r="A7" s="37" t="s">
        <v>6</v>
      </c>
      <c r="B7" s="4" t="s">
        <v>12</v>
      </c>
      <c r="C7" s="4" t="s">
        <v>47</v>
      </c>
      <c r="D7" s="100">
        <v>24</v>
      </c>
      <c r="E7" s="7">
        <v>20240</v>
      </c>
      <c r="F7" s="12">
        <v>926</v>
      </c>
      <c r="G7" s="13">
        <v>6.5</v>
      </c>
      <c r="H7" s="360"/>
      <c r="I7" s="28">
        <v>4.847569</v>
      </c>
      <c r="J7" s="28">
        <v>5.3733890000000004</v>
      </c>
      <c r="K7" s="28">
        <v>4.9482799999999996</v>
      </c>
      <c r="L7" s="28">
        <v>5.6305170000000002</v>
      </c>
      <c r="M7" s="28">
        <v>5.5573579999999998</v>
      </c>
      <c r="N7" s="28">
        <v>5.0081369999999996</v>
      </c>
      <c r="O7" s="28">
        <v>5.2320489999999999</v>
      </c>
      <c r="P7" s="28">
        <v>5.6583600000000001</v>
      </c>
      <c r="Q7" s="28">
        <v>5.2355369999999999</v>
      </c>
      <c r="R7" s="28">
        <v>4.3034540000000003</v>
      </c>
      <c r="S7" s="28">
        <v>4.8632590000000002</v>
      </c>
      <c r="T7" s="28">
        <v>4.3609669999999996</v>
      </c>
      <c r="U7" s="28">
        <v>3.8921570000000001</v>
      </c>
      <c r="V7" s="28">
        <v>3.6213860000000002</v>
      </c>
      <c r="W7" s="28">
        <v>5.0129989999999998</v>
      </c>
      <c r="X7" s="28">
        <v>2.7204069999999998</v>
      </c>
      <c r="Y7" s="63">
        <v>4.7666139999999997</v>
      </c>
      <c r="Z7" s="406"/>
      <c r="AA7" s="373"/>
      <c r="AB7" s="126">
        <f>(8/16)*100</f>
        <v>50</v>
      </c>
      <c r="AC7" s="357"/>
      <c r="AD7" s="358"/>
    </row>
    <row r="8" spans="1:30" s="14" customFormat="1" x14ac:dyDescent="0.2">
      <c r="A8" s="38" t="s">
        <v>6</v>
      </c>
      <c r="B8" s="52" t="s">
        <v>12</v>
      </c>
      <c r="C8" s="52" t="s">
        <v>47</v>
      </c>
      <c r="D8" s="102">
        <v>24</v>
      </c>
      <c r="E8" s="48">
        <v>30240</v>
      </c>
      <c r="F8" s="41">
        <v>3704</v>
      </c>
      <c r="G8" s="46">
        <v>15</v>
      </c>
      <c r="H8" s="360"/>
      <c r="I8" s="29">
        <v>4.2898160000000001</v>
      </c>
      <c r="J8" s="29">
        <v>4.6574559999999998</v>
      </c>
      <c r="K8" s="29">
        <v>5.6625269999999999</v>
      </c>
      <c r="L8" s="29">
        <v>5.0648710000000001</v>
      </c>
      <c r="M8" s="29">
        <v>5.6719559999999998</v>
      </c>
      <c r="N8" s="29">
        <v>3.7823570000000002</v>
      </c>
      <c r="O8" s="29">
        <v>3.9906139999999999</v>
      </c>
      <c r="P8" s="29">
        <v>4.8498580000000002</v>
      </c>
      <c r="Q8" s="29">
        <v>5.3344209999999999</v>
      </c>
      <c r="R8" s="29">
        <v>3.7100949999999999</v>
      </c>
      <c r="S8" s="29">
        <v>4.0835140000000001</v>
      </c>
      <c r="T8" s="29">
        <v>3.737879</v>
      </c>
      <c r="U8" s="29">
        <v>3.9910109999999999</v>
      </c>
      <c r="V8" s="29">
        <v>4.0034979999999996</v>
      </c>
      <c r="W8" s="29">
        <v>4.5732569999999999</v>
      </c>
      <c r="X8" s="29">
        <v>2.99369</v>
      </c>
      <c r="Y8" s="63">
        <v>4.3998010000000001</v>
      </c>
      <c r="Z8" s="406"/>
      <c r="AA8" s="373"/>
      <c r="AB8" s="126">
        <f>(4/16)*100</f>
        <v>25</v>
      </c>
      <c r="AC8" s="357"/>
      <c r="AD8" s="358"/>
    </row>
    <row r="9" spans="1:30" s="14" customFormat="1" x14ac:dyDescent="0.2">
      <c r="A9" s="32" t="s">
        <v>6</v>
      </c>
      <c r="B9" s="49" t="s">
        <v>13</v>
      </c>
      <c r="C9" s="50" t="s">
        <v>48</v>
      </c>
      <c r="D9" s="101">
        <v>40</v>
      </c>
      <c r="E9" s="47">
        <v>10400</v>
      </c>
      <c r="F9" s="35">
        <v>500</v>
      </c>
      <c r="G9" s="44">
        <v>3</v>
      </c>
      <c r="H9" s="360"/>
      <c r="I9" s="27">
        <v>5.290826</v>
      </c>
      <c r="J9" s="27">
        <v>5.3603630000000004</v>
      </c>
      <c r="K9" s="27">
        <v>4.285488</v>
      </c>
      <c r="L9" s="27">
        <v>5.8125239999999998</v>
      </c>
      <c r="M9" s="27">
        <v>6.6687700000000003</v>
      </c>
      <c r="N9" s="27">
        <v>4.2818430000000003</v>
      </c>
      <c r="O9" s="27">
        <v>5.8268529999999998</v>
      </c>
      <c r="P9" s="27">
        <v>4.7545029999999997</v>
      </c>
      <c r="Q9" s="27">
        <v>5.3105919999999998</v>
      </c>
      <c r="R9" s="27">
        <v>4.7606630000000001</v>
      </c>
      <c r="S9" s="27">
        <v>5.153626</v>
      </c>
      <c r="T9" s="27">
        <v>4.4143429999999997</v>
      </c>
      <c r="U9" s="27">
        <v>4.2901660000000001</v>
      </c>
      <c r="V9" s="27">
        <v>2.1033330000000001</v>
      </c>
      <c r="W9" s="27">
        <v>4.6525970000000001</v>
      </c>
      <c r="X9" s="27">
        <v>5.0983590000000003</v>
      </c>
      <c r="Y9" s="63">
        <v>4.8790529999999999</v>
      </c>
      <c r="Z9" s="406">
        <v>4.8329469999999999</v>
      </c>
      <c r="AA9" s="373"/>
      <c r="AB9" s="126">
        <f>(8/16)*100</f>
        <v>50</v>
      </c>
      <c r="AC9" s="357">
        <f>(21/48)*100</f>
        <v>43.75</v>
      </c>
      <c r="AD9" s="358"/>
    </row>
    <row r="10" spans="1:30" s="14" customFormat="1" x14ac:dyDescent="0.2">
      <c r="A10" s="37" t="s">
        <v>6</v>
      </c>
      <c r="B10" s="6" t="s">
        <v>13</v>
      </c>
      <c r="C10" s="4" t="s">
        <v>48</v>
      </c>
      <c r="D10" s="100">
        <v>40</v>
      </c>
      <c r="E10" s="7">
        <v>20400</v>
      </c>
      <c r="F10" s="12">
        <v>926</v>
      </c>
      <c r="G10" s="13">
        <v>6.5</v>
      </c>
      <c r="H10" s="360"/>
      <c r="I10" s="28">
        <v>4.6385240000000003</v>
      </c>
      <c r="J10" s="28">
        <v>5.4169309999999999</v>
      </c>
      <c r="K10" s="28">
        <v>5.3365729999999996</v>
      </c>
      <c r="L10" s="28">
        <v>5.7302419999999996</v>
      </c>
      <c r="M10" s="28">
        <v>6.0863699999999996</v>
      </c>
      <c r="N10" s="28">
        <v>4.4745350000000004</v>
      </c>
      <c r="O10" s="28">
        <v>5.38917</v>
      </c>
      <c r="P10" s="28">
        <v>5.3565750000000003</v>
      </c>
      <c r="Q10" s="28">
        <v>5.4081700000000001</v>
      </c>
      <c r="R10" s="28">
        <v>4.4037600000000001</v>
      </c>
      <c r="S10" s="28">
        <v>4.5172869999999996</v>
      </c>
      <c r="T10" s="28">
        <v>4.590147</v>
      </c>
      <c r="U10" s="28">
        <v>4.5497730000000001</v>
      </c>
      <c r="V10" s="28">
        <v>3.3109060000000001</v>
      </c>
      <c r="W10" s="28">
        <v>5.2070470000000002</v>
      </c>
      <c r="X10" s="28">
        <v>4.2779499999999997</v>
      </c>
      <c r="Y10" s="63">
        <v>4.9183729999999999</v>
      </c>
      <c r="Z10" s="406"/>
      <c r="AA10" s="373"/>
      <c r="AB10" s="126">
        <f>(8/16)*100</f>
        <v>50</v>
      </c>
      <c r="AC10" s="357"/>
      <c r="AD10" s="358"/>
    </row>
    <row r="11" spans="1:30" s="14" customFormat="1" x14ac:dyDescent="0.2">
      <c r="A11" s="38" t="s">
        <v>6</v>
      </c>
      <c r="B11" s="51" t="s">
        <v>13</v>
      </c>
      <c r="C11" s="52" t="s">
        <v>48</v>
      </c>
      <c r="D11" s="102">
        <v>40</v>
      </c>
      <c r="E11" s="48">
        <v>30400</v>
      </c>
      <c r="F11" s="41">
        <v>3704</v>
      </c>
      <c r="G11" s="46">
        <v>13</v>
      </c>
      <c r="H11" s="361"/>
      <c r="I11" s="29">
        <v>5.2514050000000001</v>
      </c>
      <c r="J11" s="29">
        <v>4.9738949999999997</v>
      </c>
      <c r="K11" s="29">
        <v>4.2966179999999996</v>
      </c>
      <c r="L11" s="29">
        <v>5.0894830000000004</v>
      </c>
      <c r="M11" s="29">
        <v>6.3651540000000004</v>
      </c>
      <c r="N11" s="29">
        <v>4.0213340000000004</v>
      </c>
      <c r="O11" s="29">
        <v>4.9328050000000001</v>
      </c>
      <c r="P11" s="29">
        <v>4.4311660000000002</v>
      </c>
      <c r="Q11" s="29">
        <v>5.8650960000000003</v>
      </c>
      <c r="R11" s="29">
        <v>3.581782</v>
      </c>
      <c r="S11" s="29">
        <v>4.6048429999999998</v>
      </c>
      <c r="T11" s="29">
        <v>4.4827130000000004</v>
      </c>
      <c r="U11" s="29">
        <v>4.7709859999999997</v>
      </c>
      <c r="V11" s="29">
        <v>3.6080179999999999</v>
      </c>
      <c r="W11" s="29">
        <v>5.0941450000000001</v>
      </c>
      <c r="X11" s="29">
        <v>3.8532120000000001</v>
      </c>
      <c r="Y11" s="63">
        <v>4.701416</v>
      </c>
      <c r="Z11" s="406"/>
      <c r="AA11" s="374"/>
      <c r="AB11" s="126">
        <f>(5/16)*100</f>
        <v>31.25</v>
      </c>
      <c r="AC11" s="357"/>
      <c r="AD11" s="358"/>
    </row>
    <row r="12" spans="1:30" s="14" customFormat="1" x14ac:dyDescent="0.2">
      <c r="A12" s="32" t="s">
        <v>6</v>
      </c>
      <c r="B12" s="43" t="s">
        <v>50</v>
      </c>
      <c r="C12" s="43" t="s">
        <v>51</v>
      </c>
      <c r="D12" s="100">
        <v>53</v>
      </c>
      <c r="E12" s="47">
        <v>10530</v>
      </c>
      <c r="F12" s="35">
        <v>500</v>
      </c>
      <c r="G12" s="44">
        <v>5</v>
      </c>
      <c r="H12" s="359" t="s">
        <v>83</v>
      </c>
      <c r="I12" s="27">
        <v>3.4932910000000001</v>
      </c>
      <c r="J12" s="27">
        <v>4.4024029999999996</v>
      </c>
      <c r="K12" s="27">
        <v>3.4003399999999999</v>
      </c>
      <c r="L12" s="27">
        <v>3.9608690000000002</v>
      </c>
      <c r="M12" s="27">
        <v>5.3201729999999996</v>
      </c>
      <c r="N12" s="27">
        <v>2.4479340000000001</v>
      </c>
      <c r="O12" s="27">
        <v>4.8087280000000003</v>
      </c>
      <c r="P12" s="27">
        <v>4.2443179999999998</v>
      </c>
      <c r="Q12" s="27">
        <v>4.7980039999999997</v>
      </c>
      <c r="R12" s="27">
        <v>1.930876</v>
      </c>
      <c r="S12" s="27">
        <v>4.0349959999999996</v>
      </c>
      <c r="T12" s="27">
        <v>4.2774910000000004</v>
      </c>
      <c r="U12" s="27">
        <v>3.8560029999999998</v>
      </c>
      <c r="V12" s="27">
        <v>3.6220599999999998</v>
      </c>
      <c r="W12" s="27">
        <v>4.2675130000000001</v>
      </c>
      <c r="X12" s="27">
        <v>3.6128559999999998</v>
      </c>
      <c r="Y12" s="53">
        <v>3.9048660000000002</v>
      </c>
      <c r="Z12" s="408">
        <v>3.9377230000000001</v>
      </c>
      <c r="AA12" s="372">
        <v>4.0270000000000001</v>
      </c>
      <c r="AB12" s="126">
        <f>(1/16)*100</f>
        <v>6.25</v>
      </c>
      <c r="AC12" s="357">
        <f>(5/48)*100</f>
        <v>10.416666666666668</v>
      </c>
      <c r="AD12" s="358">
        <f>(14/96)*100</f>
        <v>14.583333333333334</v>
      </c>
    </row>
    <row r="13" spans="1:30" s="14" customFormat="1" x14ac:dyDescent="0.2">
      <c r="A13" s="37" t="s">
        <v>6</v>
      </c>
      <c r="B13" s="14" t="s">
        <v>50</v>
      </c>
      <c r="C13" s="14" t="s">
        <v>51</v>
      </c>
      <c r="D13" s="100">
        <v>53</v>
      </c>
      <c r="E13" s="7">
        <v>20530</v>
      </c>
      <c r="F13" s="12">
        <v>926</v>
      </c>
      <c r="G13" s="13">
        <v>6</v>
      </c>
      <c r="H13" s="360"/>
      <c r="I13" s="28">
        <v>3.3713709999999999</v>
      </c>
      <c r="J13" s="28">
        <v>5.3261289999999999</v>
      </c>
      <c r="K13" s="28">
        <v>2.614671</v>
      </c>
      <c r="L13" s="28">
        <v>4.7748439999999999</v>
      </c>
      <c r="M13" s="28">
        <v>5.4782729999999997</v>
      </c>
      <c r="N13" s="28">
        <v>3.5868180000000001</v>
      </c>
      <c r="O13" s="28">
        <v>4.5020730000000002</v>
      </c>
      <c r="P13" s="28">
        <v>5.0956840000000003</v>
      </c>
      <c r="Q13" s="28">
        <v>3.0464169999999999</v>
      </c>
      <c r="R13" s="28">
        <v>3.1873360000000002</v>
      </c>
      <c r="S13" s="28">
        <v>4.2911549999999998</v>
      </c>
      <c r="T13" s="28">
        <v>4.4956560000000003</v>
      </c>
      <c r="U13" s="28">
        <v>2.7083010000000001</v>
      </c>
      <c r="V13" s="28">
        <v>3.4766360000000001</v>
      </c>
      <c r="W13" s="28">
        <v>4.5395029999999998</v>
      </c>
      <c r="X13" s="28">
        <v>2.7172299999999998</v>
      </c>
      <c r="Y13" s="53">
        <v>3.9507560000000002</v>
      </c>
      <c r="Z13" s="408"/>
      <c r="AA13" s="373"/>
      <c r="AB13" s="126">
        <f>(3/16)*100</f>
        <v>18.75</v>
      </c>
      <c r="AC13" s="357"/>
      <c r="AD13" s="358"/>
    </row>
    <row r="14" spans="1:30" s="14" customFormat="1" x14ac:dyDescent="0.2">
      <c r="A14" s="38" t="s">
        <v>6</v>
      </c>
      <c r="B14" s="45" t="s">
        <v>50</v>
      </c>
      <c r="C14" s="45" t="s">
        <v>51</v>
      </c>
      <c r="D14" s="102">
        <v>53</v>
      </c>
      <c r="E14" s="48">
        <v>30530</v>
      </c>
      <c r="F14" s="41">
        <v>3704</v>
      </c>
      <c r="G14" s="46">
        <v>12</v>
      </c>
      <c r="H14" s="360"/>
      <c r="I14" s="29">
        <v>3.686906</v>
      </c>
      <c r="J14" s="29">
        <v>4.644971</v>
      </c>
      <c r="K14" s="29">
        <v>4.0310249999999996</v>
      </c>
      <c r="L14" s="29">
        <v>3.750956</v>
      </c>
      <c r="M14" s="29">
        <v>5.8427429999999996</v>
      </c>
      <c r="N14" s="29">
        <v>2.8719109999999999</v>
      </c>
      <c r="O14" s="29">
        <v>4.6039719999999997</v>
      </c>
      <c r="P14" s="29">
        <v>2.8277230000000002</v>
      </c>
      <c r="Q14" s="29">
        <v>3.2089319999999999</v>
      </c>
      <c r="R14" s="29">
        <v>3.0423469999999999</v>
      </c>
      <c r="S14" s="29">
        <v>4.7941010000000004</v>
      </c>
      <c r="T14" s="29">
        <v>4.1263750000000003</v>
      </c>
      <c r="U14" s="29">
        <v>4.1770969999999998</v>
      </c>
      <c r="V14" s="29">
        <v>3.6591559999999999</v>
      </c>
      <c r="W14" s="29">
        <v>4.2229080000000003</v>
      </c>
      <c r="X14" s="29">
        <v>3.8296169999999998</v>
      </c>
      <c r="Y14" s="53">
        <v>3.9575459999999998</v>
      </c>
      <c r="Z14" s="408"/>
      <c r="AA14" s="373"/>
      <c r="AB14" s="126">
        <f>(1/16)*100</f>
        <v>6.25</v>
      </c>
      <c r="AC14" s="357"/>
      <c r="AD14" s="358"/>
    </row>
    <row r="15" spans="1:30" s="14" customFormat="1" x14ac:dyDescent="0.2">
      <c r="A15" s="32" t="s">
        <v>6</v>
      </c>
      <c r="B15" s="43" t="s">
        <v>49</v>
      </c>
      <c r="C15" s="43" t="s">
        <v>52</v>
      </c>
      <c r="D15" s="100">
        <v>56</v>
      </c>
      <c r="E15" s="47">
        <v>10560</v>
      </c>
      <c r="F15" s="35">
        <v>500</v>
      </c>
      <c r="G15" s="44">
        <v>2.5</v>
      </c>
      <c r="H15" s="360"/>
      <c r="I15" s="27">
        <v>3.289857</v>
      </c>
      <c r="J15" s="27">
        <v>4.5022779999999996</v>
      </c>
      <c r="K15" s="27">
        <v>4.7424799999999996</v>
      </c>
      <c r="L15" s="27">
        <v>4.5070050000000004</v>
      </c>
      <c r="M15" s="27">
        <v>5.7172650000000003</v>
      </c>
      <c r="N15" s="27">
        <v>3.328897</v>
      </c>
      <c r="O15" s="27">
        <v>4.258248</v>
      </c>
      <c r="P15" s="27">
        <v>5.49186</v>
      </c>
      <c r="Q15" s="27">
        <v>2.9455119999999999</v>
      </c>
      <c r="R15" s="27">
        <v>2.2407729999999999</v>
      </c>
      <c r="S15" s="27">
        <v>4.5033019999999997</v>
      </c>
      <c r="T15" s="27">
        <v>3.395591</v>
      </c>
      <c r="U15" s="27">
        <v>3.250308</v>
      </c>
      <c r="V15" s="27">
        <v>3.150623</v>
      </c>
      <c r="W15" s="27">
        <v>3.8827539999999998</v>
      </c>
      <c r="X15" s="27">
        <v>3.6426460000000001</v>
      </c>
      <c r="Y15" s="53">
        <v>3.9280870000000001</v>
      </c>
      <c r="Z15" s="406">
        <v>4.1165539999999998</v>
      </c>
      <c r="AA15" s="373"/>
      <c r="AB15" s="126">
        <f>(2/16)*100</f>
        <v>12.5</v>
      </c>
      <c r="AC15" s="357">
        <f>(9/48)*100</f>
        <v>18.75</v>
      </c>
      <c r="AD15" s="358"/>
    </row>
    <row r="16" spans="1:30" s="14" customFormat="1" x14ac:dyDescent="0.2">
      <c r="A16" s="37" t="s">
        <v>6</v>
      </c>
      <c r="B16" s="14" t="s">
        <v>49</v>
      </c>
      <c r="C16" s="14" t="s">
        <v>52</v>
      </c>
      <c r="D16" s="100">
        <v>56</v>
      </c>
      <c r="E16" s="12">
        <v>20560</v>
      </c>
      <c r="F16" s="12">
        <v>926</v>
      </c>
      <c r="G16" s="13">
        <v>5</v>
      </c>
      <c r="H16" s="360"/>
      <c r="I16" s="28">
        <v>3.1991079999999998</v>
      </c>
      <c r="J16" s="28">
        <v>4.4999760000000002</v>
      </c>
      <c r="K16" s="28">
        <v>5.0272189999999997</v>
      </c>
      <c r="L16" s="28">
        <v>4.1354449999999998</v>
      </c>
      <c r="M16" s="28">
        <v>5.5325730000000002</v>
      </c>
      <c r="N16" s="28">
        <v>4.0764240000000003</v>
      </c>
      <c r="O16" s="28">
        <v>4.7468709999999996</v>
      </c>
      <c r="P16" s="28">
        <v>5.4682060000000003</v>
      </c>
      <c r="Q16" s="28">
        <v>3.161241</v>
      </c>
      <c r="R16" s="28">
        <v>3.5281030000000002</v>
      </c>
      <c r="S16" s="28">
        <v>4.3086019999999996</v>
      </c>
      <c r="T16" s="28">
        <v>3.7587980000000001</v>
      </c>
      <c r="U16" s="28">
        <v>3.8790710000000002</v>
      </c>
      <c r="V16" s="28">
        <v>3.2929050000000002</v>
      </c>
      <c r="W16" s="28">
        <v>4.7199489999999997</v>
      </c>
      <c r="X16" s="28">
        <v>4.0314509999999997</v>
      </c>
      <c r="Y16" s="63">
        <v>4.2103710000000003</v>
      </c>
      <c r="Z16" s="406"/>
      <c r="AA16" s="373"/>
      <c r="AB16" s="126">
        <f>(3/16)*100</f>
        <v>18.75</v>
      </c>
      <c r="AC16" s="357"/>
      <c r="AD16" s="358"/>
    </row>
    <row r="17" spans="1:30" s="14" customFormat="1" x14ac:dyDescent="0.2">
      <c r="A17" s="38" t="s">
        <v>6</v>
      </c>
      <c r="B17" s="45" t="s">
        <v>49</v>
      </c>
      <c r="C17" s="45" t="s">
        <v>52</v>
      </c>
      <c r="D17" s="102">
        <v>56</v>
      </c>
      <c r="E17" s="41">
        <v>30560</v>
      </c>
      <c r="F17" s="41">
        <v>3704</v>
      </c>
      <c r="G17" s="46">
        <v>16</v>
      </c>
      <c r="H17" s="361"/>
      <c r="I17" s="29">
        <v>3.1526879999999999</v>
      </c>
      <c r="J17" s="29">
        <v>4.595504</v>
      </c>
      <c r="K17" s="29">
        <v>3.9762689999999998</v>
      </c>
      <c r="L17" s="29">
        <v>5.8375769999999996</v>
      </c>
      <c r="M17" s="29">
        <v>6.1474440000000001</v>
      </c>
      <c r="N17" s="29">
        <v>3.61755</v>
      </c>
      <c r="O17" s="29">
        <v>5.1688879999999999</v>
      </c>
      <c r="P17" s="29">
        <v>5.8338080000000003</v>
      </c>
      <c r="Q17" s="29">
        <v>3.658973</v>
      </c>
      <c r="R17" s="29">
        <v>2.0254569999999998</v>
      </c>
      <c r="S17" s="29">
        <v>4.8872799999999996</v>
      </c>
      <c r="T17" s="29">
        <v>3.93316</v>
      </c>
      <c r="U17" s="29">
        <v>3.4529000000000001</v>
      </c>
      <c r="V17" s="29">
        <v>3.0877340000000002</v>
      </c>
      <c r="W17" s="29">
        <v>3.8357589999999999</v>
      </c>
      <c r="X17" s="29">
        <v>4.1682410000000001</v>
      </c>
      <c r="Y17" s="63">
        <v>4.2112020000000001</v>
      </c>
      <c r="Z17" s="406"/>
      <c r="AA17" s="374"/>
      <c r="AB17" s="126">
        <f>(4/16)*100</f>
        <v>25</v>
      </c>
      <c r="AC17" s="357"/>
      <c r="AD17" s="358"/>
    </row>
    <row r="18" spans="1:30" s="14" customFormat="1" x14ac:dyDescent="0.2">
      <c r="A18" s="32" t="s">
        <v>6</v>
      </c>
      <c r="B18" s="43" t="s">
        <v>16</v>
      </c>
      <c r="C18" s="43" t="s">
        <v>53</v>
      </c>
      <c r="D18" s="100">
        <v>64</v>
      </c>
      <c r="E18" s="35">
        <v>10640</v>
      </c>
      <c r="F18" s="35">
        <v>500</v>
      </c>
      <c r="G18" s="44">
        <v>2.5</v>
      </c>
      <c r="H18" s="359" t="s">
        <v>88</v>
      </c>
      <c r="I18" s="27">
        <v>2.5774499999999998</v>
      </c>
      <c r="J18" s="27">
        <v>5.000051</v>
      </c>
      <c r="K18" s="27">
        <v>4.816325</v>
      </c>
      <c r="L18" s="27">
        <v>6.3727470000000004</v>
      </c>
      <c r="M18" s="27">
        <v>6.2786379999999999</v>
      </c>
      <c r="N18" s="27">
        <v>5.134735</v>
      </c>
      <c r="O18" s="27">
        <v>5.7719180000000003</v>
      </c>
      <c r="P18" s="27">
        <v>6.1701730000000001</v>
      </c>
      <c r="Q18" s="27">
        <v>5.4237739999999999</v>
      </c>
      <c r="R18" s="27">
        <v>3.9260280000000001</v>
      </c>
      <c r="S18" s="27">
        <v>6.2064560000000002</v>
      </c>
      <c r="T18" s="27">
        <v>3.5968800000000001</v>
      </c>
      <c r="U18" s="27">
        <v>5.4400909999999998</v>
      </c>
      <c r="V18" s="27">
        <v>4.0199769999999999</v>
      </c>
      <c r="W18" s="27">
        <v>4.8686550000000004</v>
      </c>
      <c r="X18" s="27">
        <v>5.1020630000000002</v>
      </c>
      <c r="Y18" s="54">
        <v>5.0441229999999999</v>
      </c>
      <c r="Z18" s="407">
        <v>5.0936180000000002</v>
      </c>
      <c r="AA18" s="353">
        <v>5.0860000000000003</v>
      </c>
      <c r="AB18" s="126">
        <f>(10/16)*100</f>
        <v>62.5</v>
      </c>
      <c r="AC18" s="357">
        <f>(29/48)*100</f>
        <v>60.416666666666664</v>
      </c>
      <c r="AD18" s="358">
        <f>(51/95)*100</f>
        <v>53.684210526315788</v>
      </c>
    </row>
    <row r="19" spans="1:30" s="14" customFormat="1" x14ac:dyDescent="0.2">
      <c r="A19" s="37" t="s">
        <v>6</v>
      </c>
      <c r="B19" s="14" t="s">
        <v>16</v>
      </c>
      <c r="C19" s="14" t="s">
        <v>53</v>
      </c>
      <c r="D19" s="100">
        <v>64</v>
      </c>
      <c r="E19" s="12">
        <v>20640</v>
      </c>
      <c r="F19" s="12">
        <v>926</v>
      </c>
      <c r="G19" s="13">
        <v>9.5</v>
      </c>
      <c r="H19" s="360"/>
      <c r="I19" s="28">
        <v>2.077197</v>
      </c>
      <c r="J19" s="28">
        <v>5.3887989999999997</v>
      </c>
      <c r="K19" s="28">
        <v>5.3866339999999999</v>
      </c>
      <c r="L19" s="28">
        <v>6.1446420000000002</v>
      </c>
      <c r="M19" s="28">
        <v>6.127866</v>
      </c>
      <c r="N19" s="28">
        <v>5.4624300000000003</v>
      </c>
      <c r="O19" s="28">
        <v>5.3368529999999996</v>
      </c>
      <c r="P19" s="28">
        <v>6.1612330000000002</v>
      </c>
      <c r="Q19" s="28">
        <v>4.8865410000000002</v>
      </c>
      <c r="R19" s="28">
        <v>3.9917910000000001</v>
      </c>
      <c r="S19" s="28">
        <v>6.23407</v>
      </c>
      <c r="T19" s="28">
        <v>4.8351369999999996</v>
      </c>
      <c r="U19" s="28">
        <v>5.2323589999999998</v>
      </c>
      <c r="V19" s="28">
        <v>4.3559850000000004</v>
      </c>
      <c r="W19" s="28">
        <v>5.4184210000000004</v>
      </c>
      <c r="X19" s="28">
        <v>4.6615880000000001</v>
      </c>
      <c r="Y19" s="54">
        <v>5.1063470000000004</v>
      </c>
      <c r="Z19" s="407"/>
      <c r="AA19" s="354"/>
      <c r="AB19" s="126">
        <f>(10/16)*100</f>
        <v>62.5</v>
      </c>
      <c r="AC19" s="357"/>
      <c r="AD19" s="358"/>
    </row>
    <row r="20" spans="1:30" s="14" customFormat="1" x14ac:dyDescent="0.2">
      <c r="A20" s="38" t="s">
        <v>6</v>
      </c>
      <c r="B20" s="45" t="s">
        <v>16</v>
      </c>
      <c r="C20" s="45" t="s">
        <v>53</v>
      </c>
      <c r="D20" s="102">
        <v>64</v>
      </c>
      <c r="E20" s="41">
        <v>30640</v>
      </c>
      <c r="F20" s="41">
        <v>3704</v>
      </c>
      <c r="G20" s="46">
        <v>19</v>
      </c>
      <c r="H20" s="360"/>
      <c r="I20" s="29">
        <v>4.5154589999999999</v>
      </c>
      <c r="J20" s="29">
        <v>5.8360300000000001</v>
      </c>
      <c r="K20" s="29">
        <v>4.840198</v>
      </c>
      <c r="L20" s="29">
        <v>6.6581469999999996</v>
      </c>
      <c r="M20" s="29">
        <v>5.9643560000000004</v>
      </c>
      <c r="N20" s="29">
        <v>5.4314239999999998</v>
      </c>
      <c r="O20" s="29">
        <v>5.852144</v>
      </c>
      <c r="P20" s="29">
        <v>6.5251390000000002</v>
      </c>
      <c r="Q20" s="29">
        <v>5.1043620000000001</v>
      </c>
      <c r="R20" s="29">
        <v>3.7780640000000001</v>
      </c>
      <c r="S20" s="29">
        <v>4.6395390000000001</v>
      </c>
      <c r="T20" s="29">
        <v>5.1675930000000001</v>
      </c>
      <c r="U20" s="29">
        <v>5.7343739999999999</v>
      </c>
      <c r="V20" s="29">
        <v>3.7096170000000002</v>
      </c>
      <c r="W20" s="29">
        <v>4.0416629999999998</v>
      </c>
      <c r="X20" s="29">
        <v>4.2880330000000004</v>
      </c>
      <c r="Y20" s="54">
        <v>5.1303840000000003</v>
      </c>
      <c r="Z20" s="407"/>
      <c r="AA20" s="354"/>
      <c r="AB20" s="126">
        <f>(9/16)*100</f>
        <v>56.25</v>
      </c>
      <c r="AC20" s="357"/>
      <c r="AD20" s="358"/>
    </row>
    <row r="21" spans="1:30" s="14" customFormat="1" x14ac:dyDescent="0.2">
      <c r="A21" s="32" t="s">
        <v>19</v>
      </c>
      <c r="B21" s="43" t="s">
        <v>20</v>
      </c>
      <c r="C21" s="43" t="s">
        <v>54</v>
      </c>
      <c r="D21" s="100">
        <v>72</v>
      </c>
      <c r="E21" s="35">
        <v>10720</v>
      </c>
      <c r="F21" s="35">
        <v>500</v>
      </c>
      <c r="G21" s="44">
        <v>2</v>
      </c>
      <c r="H21" s="360"/>
      <c r="I21" s="27">
        <v>3.7090920000000001</v>
      </c>
      <c r="J21" s="27">
        <v>4.3691370000000003</v>
      </c>
      <c r="K21" s="27">
        <v>6.5817909999999999</v>
      </c>
      <c r="L21" s="27">
        <v>6.0601729999999998</v>
      </c>
      <c r="M21" s="27">
        <v>6.1086410000000004</v>
      </c>
      <c r="N21" s="27">
        <v>5.2166990000000002</v>
      </c>
      <c r="O21" s="27">
        <v>4.0831980000000003</v>
      </c>
      <c r="P21" s="27">
        <v>6.0595429999999997</v>
      </c>
      <c r="Q21" s="27">
        <v>4.8081329999999998</v>
      </c>
      <c r="R21" s="27">
        <v>4.509118</v>
      </c>
      <c r="S21" s="27">
        <v>5.89574</v>
      </c>
      <c r="T21" s="27">
        <v>4.5216880000000002</v>
      </c>
      <c r="U21" s="27">
        <v>3.7275529999999999</v>
      </c>
      <c r="V21" s="27">
        <v>3.697616</v>
      </c>
      <c r="W21" s="27">
        <v>4.5382910000000001</v>
      </c>
      <c r="X21" s="27">
        <v>3.5195319999999999</v>
      </c>
      <c r="Y21" s="63">
        <v>4.837872</v>
      </c>
      <c r="Z21" s="407">
        <v>5.0784180000000001</v>
      </c>
      <c r="AA21" s="354"/>
      <c r="AB21" s="126">
        <f>(6/16)*100</f>
        <v>37.5</v>
      </c>
      <c r="AC21" s="357">
        <f>(22/47)*100</f>
        <v>46.808510638297875</v>
      </c>
      <c r="AD21" s="358"/>
    </row>
    <row r="22" spans="1:30" s="14" customFormat="1" x14ac:dyDescent="0.2">
      <c r="A22" s="37" t="s">
        <v>19</v>
      </c>
      <c r="B22" s="14" t="s">
        <v>20</v>
      </c>
      <c r="C22" s="14" t="s">
        <v>54</v>
      </c>
      <c r="D22" s="100">
        <v>72</v>
      </c>
      <c r="E22" s="12">
        <v>20720</v>
      </c>
      <c r="F22" s="12">
        <v>926</v>
      </c>
      <c r="G22" s="13">
        <v>3.5</v>
      </c>
      <c r="H22" s="360"/>
      <c r="I22" s="28">
        <v>4.0937039999999998</v>
      </c>
      <c r="J22" s="28">
        <v>4.7431840000000003</v>
      </c>
      <c r="K22" s="28">
        <v>6.2478800000000003</v>
      </c>
      <c r="L22" s="28">
        <v>5.913036</v>
      </c>
      <c r="M22" s="28">
        <v>5.6397120000000003</v>
      </c>
      <c r="N22" s="28" t="s">
        <v>73</v>
      </c>
      <c r="O22" s="28">
        <v>5.3694069999999998</v>
      </c>
      <c r="P22" s="28">
        <v>6.7054929999999997</v>
      </c>
      <c r="Q22" s="28">
        <v>4.9929420000000002</v>
      </c>
      <c r="R22" s="28">
        <v>4.9624170000000003</v>
      </c>
      <c r="S22" s="28">
        <v>5.7713890000000001</v>
      </c>
      <c r="T22" s="28">
        <v>5.4108799999999997</v>
      </c>
      <c r="U22" s="28">
        <v>4.7946010000000001</v>
      </c>
      <c r="V22" s="28">
        <v>4.4747529999999998</v>
      </c>
      <c r="W22" s="28">
        <v>4.894711</v>
      </c>
      <c r="X22" s="28">
        <v>5.6652250000000004</v>
      </c>
      <c r="Y22" s="54">
        <v>5.3119550000000002</v>
      </c>
      <c r="Z22" s="407"/>
      <c r="AA22" s="354"/>
      <c r="AB22" s="126">
        <f>(8/15)*100</f>
        <v>53.333333333333336</v>
      </c>
      <c r="AC22" s="357"/>
      <c r="AD22" s="358"/>
    </row>
    <row r="23" spans="1:30" x14ac:dyDescent="0.2">
      <c r="A23" s="38" t="s">
        <v>19</v>
      </c>
      <c r="B23" s="45" t="s">
        <v>20</v>
      </c>
      <c r="C23" s="45" t="s">
        <v>54</v>
      </c>
      <c r="D23" s="102">
        <v>72</v>
      </c>
      <c r="E23" s="41">
        <v>30720</v>
      </c>
      <c r="F23" s="41">
        <v>3704</v>
      </c>
      <c r="G23" s="46">
        <v>13.5</v>
      </c>
      <c r="H23" s="361"/>
      <c r="I23" s="29">
        <v>4.5521659999999997</v>
      </c>
      <c r="J23" s="29">
        <v>4.1402989999999997</v>
      </c>
      <c r="K23" s="29">
        <v>6.5527550000000003</v>
      </c>
      <c r="L23" s="29">
        <v>5.3167410000000004</v>
      </c>
      <c r="M23" s="29">
        <v>6.1484930000000002</v>
      </c>
      <c r="N23" s="29">
        <v>5.0301790000000004</v>
      </c>
      <c r="O23" s="29">
        <v>5.4239309999999996</v>
      </c>
      <c r="P23" s="29">
        <v>7.0714360000000003</v>
      </c>
      <c r="Q23" s="29">
        <v>4.9882410000000004</v>
      </c>
      <c r="R23" s="29">
        <v>4.5600909999999999</v>
      </c>
      <c r="S23" s="29">
        <v>4.1435589999999998</v>
      </c>
      <c r="T23" s="29">
        <v>4.1102109999999996</v>
      </c>
      <c r="U23" s="29">
        <v>5.3305449999999999</v>
      </c>
      <c r="V23" s="29">
        <v>3.7302179999999998</v>
      </c>
      <c r="W23" s="29">
        <v>4.8521099999999997</v>
      </c>
      <c r="X23" s="29">
        <v>5.6493890000000002</v>
      </c>
      <c r="Y23" s="54">
        <v>5.1000230000000002</v>
      </c>
      <c r="Z23" s="407"/>
      <c r="AA23" s="355"/>
      <c r="AB23" s="126">
        <f>(8/16)*100</f>
        <v>50</v>
      </c>
      <c r="AC23" s="357"/>
      <c r="AD23" s="358"/>
    </row>
    <row r="24" spans="1:30" ht="12.75" customHeight="1" x14ac:dyDescent="0.2">
      <c r="A24" s="32" t="s">
        <v>19</v>
      </c>
      <c r="B24" s="33" t="s">
        <v>24</v>
      </c>
      <c r="C24" s="33" t="s">
        <v>25</v>
      </c>
      <c r="D24" s="100">
        <v>601</v>
      </c>
      <c r="E24" s="34">
        <v>16010</v>
      </c>
      <c r="F24" s="35">
        <v>500</v>
      </c>
      <c r="G24" s="36">
        <v>5</v>
      </c>
      <c r="H24" s="362" t="s">
        <v>87</v>
      </c>
      <c r="I24" s="27">
        <v>5.9858799999999999</v>
      </c>
      <c r="J24" s="27">
        <v>6.4107240000000001</v>
      </c>
      <c r="K24" s="27">
        <v>5.4058460000000004</v>
      </c>
      <c r="L24" s="27">
        <v>6.82463</v>
      </c>
      <c r="M24" s="27">
        <v>6.7092289999999997</v>
      </c>
      <c r="N24" s="27">
        <v>4.4810730000000003</v>
      </c>
      <c r="O24" s="27">
        <v>6.3224220000000004</v>
      </c>
      <c r="P24" s="27">
        <v>7.3880610000000004</v>
      </c>
      <c r="Q24" s="27">
        <v>5.581912</v>
      </c>
      <c r="R24" s="27">
        <v>4.0957119999999998</v>
      </c>
      <c r="S24" s="27">
        <v>5.9829840000000001</v>
      </c>
      <c r="T24" s="27">
        <v>5.5523259999999999</v>
      </c>
      <c r="U24" s="27">
        <v>3.3714529999999998</v>
      </c>
      <c r="V24" s="27">
        <v>6.638172</v>
      </c>
      <c r="W24" s="27">
        <v>6.6483340000000002</v>
      </c>
      <c r="X24" s="27">
        <v>6.2822180000000003</v>
      </c>
      <c r="Y24" s="54">
        <v>5.8550610000000001</v>
      </c>
      <c r="Z24" s="407">
        <v>5.5063890000000004</v>
      </c>
      <c r="AA24" s="356">
        <v>5.5060000000000002</v>
      </c>
      <c r="AB24" s="126">
        <f>(13/16)*100</f>
        <v>81.25</v>
      </c>
      <c r="AC24" s="357">
        <f>(34/48)*100</f>
        <v>70.833333333333343</v>
      </c>
      <c r="AD24" s="358">
        <f>(34/48)*100</f>
        <v>70.833333333333343</v>
      </c>
    </row>
    <row r="25" spans="1:30" ht="12.75" customHeight="1" x14ac:dyDescent="0.2">
      <c r="A25" s="37" t="s">
        <v>19</v>
      </c>
      <c r="B25" s="15" t="s">
        <v>24</v>
      </c>
      <c r="C25" s="15" t="s">
        <v>25</v>
      </c>
      <c r="D25" s="100">
        <v>601</v>
      </c>
      <c r="E25" s="11">
        <v>26010</v>
      </c>
      <c r="F25" s="12">
        <v>926</v>
      </c>
      <c r="G25" s="9">
        <v>16</v>
      </c>
      <c r="H25" s="363"/>
      <c r="I25" s="28">
        <v>5.2493249999999998</v>
      </c>
      <c r="J25" s="28">
        <v>6.6705410000000001</v>
      </c>
      <c r="K25" s="28">
        <v>5.8104069999999997</v>
      </c>
      <c r="L25" s="28">
        <v>6.5598070000000002</v>
      </c>
      <c r="M25" s="28">
        <v>6.4820549999999999</v>
      </c>
      <c r="N25" s="28">
        <v>6.1717149999999998</v>
      </c>
      <c r="O25" s="28">
        <v>6.1577919999999997</v>
      </c>
      <c r="P25" s="28">
        <v>7.091348</v>
      </c>
      <c r="Q25" s="28">
        <v>5.1881599999999999</v>
      </c>
      <c r="R25" s="28">
        <v>4.49688</v>
      </c>
      <c r="S25" s="28">
        <v>5.702852</v>
      </c>
      <c r="T25" s="28">
        <v>3.8399830000000001</v>
      </c>
      <c r="U25" s="28">
        <v>4.0112909999999999</v>
      </c>
      <c r="V25" s="28">
        <v>6.4019310000000003</v>
      </c>
      <c r="W25" s="28">
        <v>5.9955920000000003</v>
      </c>
      <c r="X25" s="28">
        <v>5.8841539999999997</v>
      </c>
      <c r="Y25" s="54">
        <v>5.7321150000000003</v>
      </c>
      <c r="Z25" s="407"/>
      <c r="AA25" s="356"/>
      <c r="AB25" s="126">
        <f>(13/16)*100</f>
        <v>81.25</v>
      </c>
      <c r="AC25" s="357"/>
      <c r="AD25" s="358"/>
    </row>
    <row r="26" spans="1:30" ht="12.75" customHeight="1" x14ac:dyDescent="0.2">
      <c r="A26" s="38" t="s">
        <v>19</v>
      </c>
      <c r="B26" s="39" t="s">
        <v>24</v>
      </c>
      <c r="C26" s="39" t="s">
        <v>25</v>
      </c>
      <c r="D26" s="102">
        <v>601</v>
      </c>
      <c r="E26" s="11">
        <v>36010</v>
      </c>
      <c r="F26" s="12">
        <v>3704</v>
      </c>
      <c r="G26" s="9">
        <v>27</v>
      </c>
      <c r="H26" s="364"/>
      <c r="I26" s="28">
        <v>4.3535760000000003</v>
      </c>
      <c r="J26" s="29">
        <v>5.6948359999999996</v>
      </c>
      <c r="K26" s="29">
        <v>5.2585559999999996</v>
      </c>
      <c r="L26" s="29">
        <v>6.8398839999999996</v>
      </c>
      <c r="M26" s="29">
        <v>6.1166729999999996</v>
      </c>
      <c r="N26" s="29">
        <v>5.9967829999999998</v>
      </c>
      <c r="O26" s="29">
        <v>5.1633709999999997</v>
      </c>
      <c r="P26" s="29">
        <v>4.1262439999999998</v>
      </c>
      <c r="Q26" s="29">
        <v>3.2013950000000002</v>
      </c>
      <c r="R26" s="29">
        <v>4.1353780000000002</v>
      </c>
      <c r="S26" s="29">
        <v>4.7986129999999996</v>
      </c>
      <c r="T26" s="29">
        <v>3.8859880000000002</v>
      </c>
      <c r="U26" s="29">
        <v>4.4188599999999996</v>
      </c>
      <c r="V26" s="29">
        <v>5.8239140000000003</v>
      </c>
      <c r="W26" s="29">
        <v>5.9102829999999997</v>
      </c>
      <c r="X26" s="29">
        <v>3.1875260000000001</v>
      </c>
      <c r="Y26" s="63">
        <v>4.9319930000000003</v>
      </c>
      <c r="Z26" s="407"/>
      <c r="AA26" s="356"/>
      <c r="AB26" s="126">
        <f>(8/16)*100</f>
        <v>50</v>
      </c>
      <c r="AC26" s="357"/>
      <c r="AD26" s="358"/>
    </row>
    <row r="27" spans="1:30" x14ac:dyDescent="0.2">
      <c r="D27" s="100"/>
      <c r="E27" s="35"/>
      <c r="F27" s="35"/>
      <c r="G27" s="36"/>
      <c r="H27" s="62"/>
      <c r="I27" s="33"/>
      <c r="J27" s="23"/>
      <c r="K27" s="23"/>
    </row>
  </sheetData>
  <mergeCells count="30">
    <mergeCell ref="Z24:Z26"/>
    <mergeCell ref="Y1:AA1"/>
    <mergeCell ref="AB1:AD1"/>
    <mergeCell ref="AA3:AA11"/>
    <mergeCell ref="AA12:AA17"/>
    <mergeCell ref="AC3:AC5"/>
    <mergeCell ref="AD3:AD11"/>
    <mergeCell ref="Z3:Z5"/>
    <mergeCell ref="Z6:Z8"/>
    <mergeCell ref="AC15:AC17"/>
    <mergeCell ref="Z12:Z14"/>
    <mergeCell ref="Z15:Z17"/>
    <mergeCell ref="Z18:Z20"/>
    <mergeCell ref="Z21:Z23"/>
    <mergeCell ref="H24:H26"/>
    <mergeCell ref="AC24:AC26"/>
    <mergeCell ref="AD24:AD26"/>
    <mergeCell ref="AC6:AC8"/>
    <mergeCell ref="AC9:AC11"/>
    <mergeCell ref="AC12:AC14"/>
    <mergeCell ref="AD12:AD17"/>
    <mergeCell ref="AA18:AA23"/>
    <mergeCell ref="AA24:AA26"/>
    <mergeCell ref="Z9:Z11"/>
    <mergeCell ref="AC18:AC20"/>
    <mergeCell ref="AD18:AD23"/>
    <mergeCell ref="AC21:AC23"/>
    <mergeCell ref="H3:H11"/>
    <mergeCell ref="H12:H17"/>
    <mergeCell ref="H18:H23"/>
  </mergeCells>
  <phoneticPr fontId="4"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G38"/>
  <sheetViews>
    <sheetView topLeftCell="S6" workbookViewId="0">
      <selection activeCell="I35" sqref="I35"/>
    </sheetView>
  </sheetViews>
  <sheetFormatPr defaultRowHeight="12.75" x14ac:dyDescent="0.2"/>
  <cols>
    <col min="1" max="1" width="5.7109375" style="12" customWidth="1"/>
    <col min="2" max="2" width="22.85546875" style="15" bestFit="1" customWidth="1"/>
    <col min="3" max="3" width="38" style="15" bestFit="1" customWidth="1"/>
    <col min="4" max="4" width="10.42578125" style="15" customWidth="1"/>
    <col min="5" max="5" width="9.7109375" style="12" bestFit="1" customWidth="1"/>
    <col min="6" max="6" width="11" style="15" customWidth="1"/>
    <col min="7" max="7" width="10.5703125" style="15" customWidth="1"/>
    <col min="8" max="8" width="17.5703125" style="15" bestFit="1" customWidth="1"/>
    <col min="17" max="17" width="11.5703125" bestFit="1" customWidth="1"/>
    <col min="19" max="19" width="10.140625" bestFit="1" customWidth="1"/>
    <col min="20" max="20" width="9.5703125" bestFit="1" customWidth="1"/>
    <col min="21" max="21" width="10.42578125" customWidth="1"/>
    <col min="22" max="22" width="10.28515625" customWidth="1"/>
    <col min="23" max="23" width="12.42578125" customWidth="1"/>
    <col min="24" max="24" width="12.28515625" bestFit="1" customWidth="1"/>
    <col min="25" max="25" width="12.42578125" bestFit="1" customWidth="1"/>
    <col min="26" max="26" width="14.42578125" bestFit="1" customWidth="1"/>
  </cols>
  <sheetData>
    <row r="1" spans="1:26" ht="39.75" customHeight="1" x14ac:dyDescent="0.2">
      <c r="U1" s="371" t="s">
        <v>90</v>
      </c>
      <c r="V1" s="371"/>
      <c r="W1" s="371"/>
      <c r="X1" s="371" t="s">
        <v>94</v>
      </c>
      <c r="Y1" s="371"/>
      <c r="Z1" s="371"/>
    </row>
    <row r="2" spans="1:26" s="10" customFormat="1" ht="46.5" customHeight="1" x14ac:dyDescent="0.2">
      <c r="A2" s="1" t="s">
        <v>0</v>
      </c>
      <c r="B2" s="2" t="s">
        <v>1</v>
      </c>
      <c r="C2" s="1" t="s">
        <v>2</v>
      </c>
      <c r="D2" s="3" t="s">
        <v>89</v>
      </c>
      <c r="E2" s="1" t="s">
        <v>81</v>
      </c>
      <c r="F2" s="1" t="s">
        <v>4</v>
      </c>
      <c r="G2" s="1" t="s">
        <v>5</v>
      </c>
      <c r="H2" s="1" t="s">
        <v>85</v>
      </c>
      <c r="I2" s="25" t="s">
        <v>28</v>
      </c>
      <c r="J2" s="25" t="s">
        <v>29</v>
      </c>
      <c r="K2" s="25" t="s">
        <v>30</v>
      </c>
      <c r="L2" s="25" t="s">
        <v>31</v>
      </c>
      <c r="M2" s="25" t="s">
        <v>45</v>
      </c>
      <c r="N2" s="25" t="s">
        <v>77</v>
      </c>
      <c r="O2" s="25" t="s">
        <v>76</v>
      </c>
      <c r="P2" s="25" t="s">
        <v>75</v>
      </c>
      <c r="Q2" s="25" t="s">
        <v>74</v>
      </c>
      <c r="R2" s="25" t="s">
        <v>42</v>
      </c>
      <c r="S2" s="25" t="s">
        <v>43</v>
      </c>
      <c r="T2" s="24" t="s">
        <v>44</v>
      </c>
      <c r="U2" s="25" t="s">
        <v>71</v>
      </c>
      <c r="V2" s="26" t="s">
        <v>72</v>
      </c>
      <c r="W2" s="26" t="s">
        <v>80</v>
      </c>
      <c r="X2" s="123" t="s">
        <v>91</v>
      </c>
      <c r="Y2" s="123" t="s">
        <v>92</v>
      </c>
      <c r="Z2" s="123" t="s">
        <v>93</v>
      </c>
    </row>
    <row r="3" spans="1:26" x14ac:dyDescent="0.2">
      <c r="A3" s="32" t="s">
        <v>6</v>
      </c>
      <c r="B3" s="50" t="s">
        <v>9</v>
      </c>
      <c r="C3" s="50" t="s">
        <v>46</v>
      </c>
      <c r="D3" s="101">
        <v>8</v>
      </c>
      <c r="E3" s="47">
        <v>10080</v>
      </c>
      <c r="F3" s="35">
        <v>500</v>
      </c>
      <c r="G3" s="44">
        <v>2</v>
      </c>
      <c r="H3" s="410" t="s">
        <v>82</v>
      </c>
      <c r="I3" s="64">
        <v>3.4545526185003781</v>
      </c>
      <c r="J3" s="27">
        <v>2.4370707883769738</v>
      </c>
      <c r="K3" s="27">
        <v>4.6400158305221746</v>
      </c>
      <c r="L3" s="27">
        <v>2.0452419797535959</v>
      </c>
      <c r="M3" s="27">
        <v>4.3048341464209257</v>
      </c>
      <c r="N3" s="27">
        <v>3.5258881807150306</v>
      </c>
      <c r="O3" s="27">
        <v>4.6166417474083357</v>
      </c>
      <c r="P3" s="27">
        <v>4.7801465871527862</v>
      </c>
      <c r="Q3" s="27">
        <v>3.8889711014644752</v>
      </c>
      <c r="R3" s="27">
        <v>4.3580117860747443</v>
      </c>
      <c r="S3" s="65">
        <v>5.7528605939151074</v>
      </c>
      <c r="T3" s="409" t="s">
        <v>79</v>
      </c>
      <c r="U3" s="58">
        <v>3.9822030000000002</v>
      </c>
      <c r="V3" s="413">
        <v>3.8942199999999998</v>
      </c>
      <c r="W3" s="422">
        <v>3.8999090000000001</v>
      </c>
      <c r="X3" s="126">
        <f>(1/11)*100</f>
        <v>9.0909090909090917</v>
      </c>
      <c r="Y3" s="357">
        <f>(3/33)*100</f>
        <v>9.0909090909090917</v>
      </c>
      <c r="Z3" s="358">
        <f>(13/99)*100</f>
        <v>13.131313131313133</v>
      </c>
    </row>
    <row r="4" spans="1:26" x14ac:dyDescent="0.2">
      <c r="A4" s="37" t="s">
        <v>6</v>
      </c>
      <c r="B4" s="4" t="s">
        <v>9</v>
      </c>
      <c r="C4" s="4" t="s">
        <v>46</v>
      </c>
      <c r="D4" s="100">
        <v>8</v>
      </c>
      <c r="E4" s="7">
        <v>20080</v>
      </c>
      <c r="F4" s="12">
        <v>926</v>
      </c>
      <c r="G4" s="13">
        <v>4.5</v>
      </c>
      <c r="H4" s="411"/>
      <c r="I4" s="66">
        <v>3.1180826037899272</v>
      </c>
      <c r="J4" s="28">
        <v>3.4357951000639808</v>
      </c>
      <c r="K4" s="28">
        <v>3.6539426126190699</v>
      </c>
      <c r="L4" s="28">
        <v>1.8341449880599556</v>
      </c>
      <c r="M4" s="28">
        <v>5.0652837889002269</v>
      </c>
      <c r="N4" s="28">
        <v>4.3265485119992304</v>
      </c>
      <c r="O4" s="28">
        <v>4.8457346129026933</v>
      </c>
      <c r="P4" s="28">
        <v>4.9351141207109874</v>
      </c>
      <c r="Q4" s="28">
        <v>4.2629566315335055</v>
      </c>
      <c r="R4" s="28">
        <v>4.1623571391689609</v>
      </c>
      <c r="S4" s="67">
        <v>4.8833699485655906</v>
      </c>
      <c r="T4" s="409"/>
      <c r="U4" s="59">
        <v>4.0475750000000001</v>
      </c>
      <c r="V4" s="414"/>
      <c r="W4" s="422"/>
      <c r="X4" s="126">
        <f>(1/11)*100</f>
        <v>9.0909090909090917</v>
      </c>
      <c r="Y4" s="357"/>
      <c r="Z4" s="358"/>
    </row>
    <row r="5" spans="1:26" x14ac:dyDescent="0.2">
      <c r="A5" s="38" t="s">
        <v>6</v>
      </c>
      <c r="B5" s="52" t="s">
        <v>9</v>
      </c>
      <c r="C5" s="52" t="s">
        <v>46</v>
      </c>
      <c r="D5" s="102">
        <v>8</v>
      </c>
      <c r="E5" s="48">
        <v>30080</v>
      </c>
      <c r="F5" s="41">
        <v>3704</v>
      </c>
      <c r="G5" s="46">
        <v>13</v>
      </c>
      <c r="H5" s="411"/>
      <c r="I5" s="68">
        <v>2.3050605251227858</v>
      </c>
      <c r="J5" s="29">
        <v>2.6384710058705041</v>
      </c>
      <c r="K5" s="29">
        <v>3.456868469560197</v>
      </c>
      <c r="L5" s="29">
        <v>1.4374829650841308</v>
      </c>
      <c r="M5" s="29">
        <v>4.1946393425260498</v>
      </c>
      <c r="N5" s="29">
        <v>3.8353931516369606</v>
      </c>
      <c r="O5" s="29">
        <v>4.8635719499077315</v>
      </c>
      <c r="P5" s="29">
        <v>3.6699396800753568</v>
      </c>
      <c r="Q5" s="29">
        <v>4.3525917998678088</v>
      </c>
      <c r="R5" s="29">
        <v>4.1425997693084673</v>
      </c>
      <c r="S5" s="69">
        <v>5.285061991619199</v>
      </c>
      <c r="T5" s="409"/>
      <c r="U5" s="58">
        <v>3.6528800000000001</v>
      </c>
      <c r="V5" s="415"/>
      <c r="W5" s="422"/>
      <c r="X5" s="126">
        <f>(1/11)*100</f>
        <v>9.0909090909090917</v>
      </c>
      <c r="Y5" s="357"/>
      <c r="Z5" s="358"/>
    </row>
    <row r="6" spans="1:26" x14ac:dyDescent="0.2">
      <c r="A6" s="32" t="s">
        <v>6</v>
      </c>
      <c r="B6" s="50" t="s">
        <v>12</v>
      </c>
      <c r="C6" s="50" t="s">
        <v>47</v>
      </c>
      <c r="D6" s="101">
        <v>24</v>
      </c>
      <c r="E6" s="47">
        <v>10240</v>
      </c>
      <c r="F6" s="35">
        <v>500</v>
      </c>
      <c r="G6" s="44">
        <v>2.5</v>
      </c>
      <c r="H6" s="411"/>
      <c r="I6" s="64">
        <v>3.9579092360834078</v>
      </c>
      <c r="J6" s="27">
        <v>2.8247139618175545</v>
      </c>
      <c r="K6" s="27">
        <v>4.5107838565401313</v>
      </c>
      <c r="L6" s="27">
        <v>1.8568719542614986</v>
      </c>
      <c r="M6" s="27">
        <v>5.3432175552409094</v>
      </c>
      <c r="N6" s="27">
        <v>5.0867146820442146</v>
      </c>
      <c r="O6" s="27">
        <v>4.5503842015762022</v>
      </c>
      <c r="P6" s="27">
        <v>4.817794863014611</v>
      </c>
      <c r="Q6" s="27">
        <v>4.4647856175430807</v>
      </c>
      <c r="R6" s="27">
        <v>4.7030068367550113</v>
      </c>
      <c r="S6" s="65">
        <v>5.0941793375376969</v>
      </c>
      <c r="T6" s="409"/>
      <c r="U6" s="59">
        <v>4.2918510000000003</v>
      </c>
      <c r="V6" s="416">
        <v>4.0623170000000002</v>
      </c>
      <c r="W6" s="422"/>
      <c r="X6" s="126">
        <f>(3/11)*100</f>
        <v>27.27272727272727</v>
      </c>
      <c r="Y6" s="357">
        <f>(6/33)*100</f>
        <v>18.181818181818183</v>
      </c>
      <c r="Z6" s="358"/>
    </row>
    <row r="7" spans="1:26" x14ac:dyDescent="0.2">
      <c r="A7" s="37" t="s">
        <v>6</v>
      </c>
      <c r="B7" s="4" t="s">
        <v>12</v>
      </c>
      <c r="C7" s="4" t="s">
        <v>47</v>
      </c>
      <c r="D7" s="100">
        <v>24</v>
      </c>
      <c r="E7" s="7">
        <v>20240</v>
      </c>
      <c r="F7" s="12">
        <v>926</v>
      </c>
      <c r="G7" s="13">
        <v>6.5</v>
      </c>
      <c r="H7" s="411"/>
      <c r="I7" s="66">
        <v>4.4541479733670659</v>
      </c>
      <c r="J7" s="28">
        <v>3.8291756878044003</v>
      </c>
      <c r="K7" s="28">
        <v>3.7635651606453608</v>
      </c>
      <c r="L7" s="28">
        <v>1.5916007263837246</v>
      </c>
      <c r="M7" s="28">
        <v>5.4707847225355115</v>
      </c>
      <c r="N7" s="28">
        <v>4.098312527947936</v>
      </c>
      <c r="O7" s="28">
        <v>4.3491438202924426</v>
      </c>
      <c r="P7" s="28">
        <v>3.0744397310288738</v>
      </c>
      <c r="Q7" s="28">
        <v>4.2944787747330757</v>
      </c>
      <c r="R7" s="28">
        <v>4.7786331509717153</v>
      </c>
      <c r="S7" s="67">
        <v>5.1368335775518164</v>
      </c>
      <c r="T7" s="409"/>
      <c r="U7" s="59">
        <v>4.0764649999999998</v>
      </c>
      <c r="V7" s="417"/>
      <c r="W7" s="422"/>
      <c r="X7" s="126">
        <f>(2/11)*100</f>
        <v>18.181818181818183</v>
      </c>
      <c r="Y7" s="357"/>
      <c r="Z7" s="358"/>
    </row>
    <row r="8" spans="1:26" x14ac:dyDescent="0.2">
      <c r="A8" s="38" t="s">
        <v>6</v>
      </c>
      <c r="B8" s="52" t="s">
        <v>12</v>
      </c>
      <c r="C8" s="52" t="s">
        <v>47</v>
      </c>
      <c r="D8" s="102">
        <v>24</v>
      </c>
      <c r="E8" s="48">
        <v>30240</v>
      </c>
      <c r="F8" s="41">
        <v>3704</v>
      </c>
      <c r="G8" s="46">
        <v>15</v>
      </c>
      <c r="H8" s="411"/>
      <c r="I8" s="68">
        <v>3.5651350585070127</v>
      </c>
      <c r="J8" s="29">
        <v>4.0752551538685173</v>
      </c>
      <c r="K8" s="29">
        <v>3.6123533625371769</v>
      </c>
      <c r="L8" s="29">
        <v>2.066596328583485</v>
      </c>
      <c r="M8" s="29">
        <v>4.1806664157617259</v>
      </c>
      <c r="N8" s="29">
        <v>3.8166885455833932</v>
      </c>
      <c r="O8" s="29">
        <v>4.3485389033214794</v>
      </c>
      <c r="P8" s="29">
        <v>2.8873722187809765</v>
      </c>
      <c r="Q8" s="29">
        <v>4.192773470957416</v>
      </c>
      <c r="R8" s="29">
        <v>3.8977312202441472</v>
      </c>
      <c r="S8" s="69">
        <v>5.3618712966851039</v>
      </c>
      <c r="T8" s="409"/>
      <c r="U8" s="58">
        <v>3.818635</v>
      </c>
      <c r="V8" s="418"/>
      <c r="W8" s="422"/>
      <c r="X8" s="126">
        <f>(1/11)*100</f>
        <v>9.0909090909090917</v>
      </c>
      <c r="Y8" s="357"/>
      <c r="Z8" s="358"/>
    </row>
    <row r="9" spans="1:26" x14ac:dyDescent="0.2">
      <c r="A9" s="32" t="s">
        <v>6</v>
      </c>
      <c r="B9" s="49" t="s">
        <v>13</v>
      </c>
      <c r="C9" s="50" t="s">
        <v>48</v>
      </c>
      <c r="D9" s="101">
        <v>40</v>
      </c>
      <c r="E9" s="47">
        <v>10400</v>
      </c>
      <c r="F9" s="35">
        <v>500</v>
      </c>
      <c r="G9" s="44">
        <v>3</v>
      </c>
      <c r="H9" s="411"/>
      <c r="I9" s="64">
        <v>4.2422245316964275</v>
      </c>
      <c r="J9" s="27">
        <v>3.0012659176188543</v>
      </c>
      <c r="K9" s="27">
        <v>2.5284985813458536</v>
      </c>
      <c r="L9" s="27">
        <v>1.3072319496777709</v>
      </c>
      <c r="M9" s="27">
        <v>5.0592176560259956</v>
      </c>
      <c r="N9" s="27">
        <v>3.602233382110775</v>
      </c>
      <c r="O9" s="27">
        <v>3.8848078631289349</v>
      </c>
      <c r="P9" s="27">
        <v>2.2488295931052016</v>
      </c>
      <c r="Q9" s="27">
        <v>4.6310283824112561</v>
      </c>
      <c r="R9" s="27">
        <v>4.429452791083718</v>
      </c>
      <c r="S9" s="65">
        <v>5.0746860566639809</v>
      </c>
      <c r="T9" s="409"/>
      <c r="U9" s="58">
        <v>3.6372249999999999</v>
      </c>
      <c r="V9" s="413">
        <v>3.7431890000000001</v>
      </c>
      <c r="W9" s="422"/>
      <c r="X9" s="126">
        <f>(2/11)*100</f>
        <v>18.181818181818183</v>
      </c>
      <c r="Y9" s="357">
        <f>(4/33)*100</f>
        <v>12.121212121212121</v>
      </c>
      <c r="Z9" s="358"/>
    </row>
    <row r="10" spans="1:26" x14ac:dyDescent="0.2">
      <c r="A10" s="37" t="s">
        <v>6</v>
      </c>
      <c r="B10" s="6" t="s">
        <v>13</v>
      </c>
      <c r="C10" s="4" t="s">
        <v>48</v>
      </c>
      <c r="D10" s="100">
        <v>40</v>
      </c>
      <c r="E10" s="7">
        <v>20400</v>
      </c>
      <c r="F10" s="12">
        <v>926</v>
      </c>
      <c r="G10" s="13">
        <v>6.5</v>
      </c>
      <c r="H10" s="411"/>
      <c r="I10" s="66">
        <v>3.6950046019279448</v>
      </c>
      <c r="J10" s="28">
        <v>3.2298026977558298</v>
      </c>
      <c r="K10" s="28">
        <v>3.5776648935420705</v>
      </c>
      <c r="L10" s="28">
        <v>2.4317446017157436</v>
      </c>
      <c r="M10" s="28">
        <v>4.6641525471495902</v>
      </c>
      <c r="N10" s="28">
        <v>3.1204044814199365</v>
      </c>
      <c r="O10" s="28">
        <v>3.7128977407549701</v>
      </c>
      <c r="P10" s="28">
        <v>2.7867104086314041</v>
      </c>
      <c r="Q10" s="28">
        <v>4.6092387056979982</v>
      </c>
      <c r="R10" s="28">
        <v>4.197682936581546</v>
      </c>
      <c r="S10" s="67">
        <v>5.2824205328503293</v>
      </c>
      <c r="T10" s="409"/>
      <c r="U10" s="58">
        <v>3.7552479999999999</v>
      </c>
      <c r="V10" s="414"/>
      <c r="W10" s="422"/>
      <c r="X10" s="126">
        <f t="shared" ref="X10:X15" si="0">(1/11)*100</f>
        <v>9.0909090909090917</v>
      </c>
      <c r="Y10" s="357"/>
      <c r="Z10" s="358"/>
    </row>
    <row r="11" spans="1:26" x14ac:dyDescent="0.2">
      <c r="A11" s="38" t="s">
        <v>6</v>
      </c>
      <c r="B11" s="51" t="s">
        <v>13</v>
      </c>
      <c r="C11" s="52" t="s">
        <v>48</v>
      </c>
      <c r="D11" s="102">
        <v>40</v>
      </c>
      <c r="E11" s="48">
        <v>30400</v>
      </c>
      <c r="F11" s="41">
        <v>3704</v>
      </c>
      <c r="G11" s="46">
        <v>13</v>
      </c>
      <c r="H11" s="412"/>
      <c r="I11" s="68">
        <v>4.1729128233307033</v>
      </c>
      <c r="J11" s="29">
        <v>2.9135180690382123</v>
      </c>
      <c r="K11" s="29">
        <v>3.2637800675608126</v>
      </c>
      <c r="L11" s="29">
        <v>1.3922586933211509</v>
      </c>
      <c r="M11" s="29">
        <v>4.8511445810183149</v>
      </c>
      <c r="N11" s="29">
        <v>3.7567481331244741</v>
      </c>
      <c r="O11" s="29">
        <v>3.7527670162402034</v>
      </c>
      <c r="P11" s="29">
        <v>3.1738514969976874</v>
      </c>
      <c r="Q11" s="29">
        <v>4.5423157396596148</v>
      </c>
      <c r="R11" s="29">
        <v>4.690627935054577</v>
      </c>
      <c r="S11" s="69">
        <v>5.6981247940329567</v>
      </c>
      <c r="T11" s="409"/>
      <c r="U11" s="58">
        <v>3.8370950000000001</v>
      </c>
      <c r="V11" s="415"/>
      <c r="W11" s="422"/>
      <c r="X11" s="126">
        <f t="shared" si="0"/>
        <v>9.0909090909090917</v>
      </c>
      <c r="Y11" s="357"/>
      <c r="Z11" s="358"/>
    </row>
    <row r="12" spans="1:26" x14ac:dyDescent="0.2">
      <c r="A12" s="32" t="s">
        <v>6</v>
      </c>
      <c r="B12" s="43" t="s">
        <v>50</v>
      </c>
      <c r="C12" s="43" t="s">
        <v>51</v>
      </c>
      <c r="D12" s="100">
        <v>53</v>
      </c>
      <c r="E12" s="47">
        <v>10530</v>
      </c>
      <c r="F12" s="35">
        <v>500</v>
      </c>
      <c r="G12" s="44">
        <v>5</v>
      </c>
      <c r="H12" s="410" t="s">
        <v>83</v>
      </c>
      <c r="I12" s="64">
        <v>3.4145471232818476</v>
      </c>
      <c r="J12" s="27">
        <v>2.4555234974552773</v>
      </c>
      <c r="K12" s="27">
        <v>2.5916933033096394</v>
      </c>
      <c r="L12" s="27">
        <v>2.1227012880538321</v>
      </c>
      <c r="M12" s="27">
        <v>4.3348167044047825</v>
      </c>
      <c r="N12" s="27">
        <v>3.6488111986152689</v>
      </c>
      <c r="O12" s="27">
        <v>4.1415740550469193</v>
      </c>
      <c r="P12" s="27">
        <v>3.2463838271295855</v>
      </c>
      <c r="Q12" s="27">
        <v>3.7787801044987575</v>
      </c>
      <c r="R12" s="27">
        <v>4.4776806884795306</v>
      </c>
      <c r="S12" s="65">
        <v>5.4316363541494077</v>
      </c>
      <c r="T12" s="409"/>
      <c r="U12" s="58">
        <v>3.6040130000000001</v>
      </c>
      <c r="V12" s="413">
        <v>3.5428139999999999</v>
      </c>
      <c r="W12" s="422">
        <v>3.6176210000000002</v>
      </c>
      <c r="X12" s="126">
        <f t="shared" si="0"/>
        <v>9.0909090909090917</v>
      </c>
      <c r="Y12" s="357">
        <f>(3/33)*100</f>
        <v>9.0909090909090917</v>
      </c>
      <c r="Z12" s="358">
        <f>(5/66)*100</f>
        <v>7.5757575757575761</v>
      </c>
    </row>
    <row r="13" spans="1:26" x14ac:dyDescent="0.2">
      <c r="A13" s="37" t="s">
        <v>6</v>
      </c>
      <c r="B13" s="14" t="s">
        <v>50</v>
      </c>
      <c r="C13" s="14" t="s">
        <v>51</v>
      </c>
      <c r="D13" s="100">
        <v>53</v>
      </c>
      <c r="E13" s="7">
        <v>20530</v>
      </c>
      <c r="F13" s="12">
        <v>926</v>
      </c>
      <c r="G13" s="13">
        <v>6</v>
      </c>
      <c r="H13" s="411"/>
      <c r="I13" s="66">
        <v>3.4281527466323323</v>
      </c>
      <c r="J13" s="28">
        <v>2.4710902013140923</v>
      </c>
      <c r="K13" s="28">
        <v>2.2103741473916938</v>
      </c>
      <c r="L13" s="28">
        <v>3.1486171013282331</v>
      </c>
      <c r="M13" s="28">
        <v>3.0431081919507426</v>
      </c>
      <c r="N13" s="28">
        <v>3.2676641673706843</v>
      </c>
      <c r="O13" s="28">
        <v>3.6402441030120669</v>
      </c>
      <c r="P13" s="28">
        <v>3.0177772334809467</v>
      </c>
      <c r="Q13" s="28">
        <v>3.6576804770373661</v>
      </c>
      <c r="R13" s="28">
        <v>4.8549790103616921</v>
      </c>
      <c r="S13" s="67">
        <v>5.588112364656757</v>
      </c>
      <c r="T13" s="409"/>
      <c r="U13" s="58">
        <v>3.4843449999999998</v>
      </c>
      <c r="V13" s="414"/>
      <c r="W13" s="422"/>
      <c r="X13" s="126">
        <f t="shared" si="0"/>
        <v>9.0909090909090917</v>
      </c>
      <c r="Y13" s="357"/>
      <c r="Z13" s="358"/>
    </row>
    <row r="14" spans="1:26" x14ac:dyDescent="0.2">
      <c r="A14" s="38" t="s">
        <v>6</v>
      </c>
      <c r="B14" s="45" t="s">
        <v>50</v>
      </c>
      <c r="C14" s="45" t="s">
        <v>51</v>
      </c>
      <c r="D14" s="102">
        <v>53</v>
      </c>
      <c r="E14" s="48">
        <v>30530</v>
      </c>
      <c r="F14" s="41">
        <v>3704</v>
      </c>
      <c r="G14" s="46">
        <v>12</v>
      </c>
      <c r="H14" s="411"/>
      <c r="I14" s="68">
        <v>3.4789701735201994</v>
      </c>
      <c r="J14" s="29">
        <v>2.6285728035925104</v>
      </c>
      <c r="K14" s="29">
        <v>2.6220354756698048</v>
      </c>
      <c r="L14" s="29">
        <v>2.1649400587048362</v>
      </c>
      <c r="M14" s="29">
        <v>3.9463871957886871</v>
      </c>
      <c r="N14" s="29">
        <v>3.006397376684828</v>
      </c>
      <c r="O14" s="29">
        <v>3.9785121541832558</v>
      </c>
      <c r="P14" s="29">
        <v>3.3309536879156423</v>
      </c>
      <c r="Q14" s="29">
        <v>3.0241944471458879</v>
      </c>
      <c r="R14" s="29">
        <v>4.8262582583070355</v>
      </c>
      <c r="S14" s="69">
        <v>5.9337107082320877</v>
      </c>
      <c r="T14" s="409"/>
      <c r="U14" s="58">
        <v>3.5400849999999999</v>
      </c>
      <c r="V14" s="415"/>
      <c r="W14" s="422"/>
      <c r="X14" s="126">
        <f t="shared" si="0"/>
        <v>9.0909090909090917</v>
      </c>
      <c r="Y14" s="357"/>
      <c r="Z14" s="358"/>
    </row>
    <row r="15" spans="1:26" x14ac:dyDescent="0.2">
      <c r="A15" s="32" t="s">
        <v>6</v>
      </c>
      <c r="B15" s="43" t="s">
        <v>49</v>
      </c>
      <c r="C15" s="43" t="s">
        <v>52</v>
      </c>
      <c r="D15" s="100">
        <v>56</v>
      </c>
      <c r="E15" s="47">
        <v>10560</v>
      </c>
      <c r="F15" s="35">
        <v>500</v>
      </c>
      <c r="G15" s="44">
        <v>2.5</v>
      </c>
      <c r="H15" s="411"/>
      <c r="I15" s="64">
        <v>3.2412528851172109</v>
      </c>
      <c r="J15" s="27">
        <v>2.129226617517705</v>
      </c>
      <c r="K15" s="27">
        <v>2.6497626129634644</v>
      </c>
      <c r="L15" s="27">
        <v>2.594659926485416</v>
      </c>
      <c r="M15" s="27">
        <v>4.2625361346333692</v>
      </c>
      <c r="N15" s="27">
        <v>4.0165247373601414</v>
      </c>
      <c r="O15" s="27">
        <v>3.9899065465691064</v>
      </c>
      <c r="P15" s="27">
        <v>2.2703265836956148</v>
      </c>
      <c r="Q15" s="27">
        <v>4.0488693788846737</v>
      </c>
      <c r="R15" s="27">
        <v>4.8118875954675735</v>
      </c>
      <c r="S15" s="65">
        <v>5.5520878017767616</v>
      </c>
      <c r="T15" s="409"/>
      <c r="U15" s="58">
        <v>3.5970040000000001</v>
      </c>
      <c r="V15" s="413">
        <v>3.6924269999999999</v>
      </c>
      <c r="W15" s="422"/>
      <c r="X15" s="126">
        <f t="shared" si="0"/>
        <v>9.0909090909090917</v>
      </c>
      <c r="Y15" s="357">
        <f>(2/33)*100</f>
        <v>6.0606060606060606</v>
      </c>
      <c r="Z15" s="358"/>
    </row>
    <row r="16" spans="1:26" x14ac:dyDescent="0.2">
      <c r="A16" s="37" t="s">
        <v>6</v>
      </c>
      <c r="B16" s="14" t="s">
        <v>49</v>
      </c>
      <c r="C16" s="14" t="s">
        <v>52</v>
      </c>
      <c r="D16" s="100">
        <v>56</v>
      </c>
      <c r="E16" s="12">
        <v>20560</v>
      </c>
      <c r="F16" s="12">
        <v>926</v>
      </c>
      <c r="G16" s="13">
        <v>5</v>
      </c>
      <c r="H16" s="411"/>
      <c r="I16" s="66">
        <v>4.6852499651651023</v>
      </c>
      <c r="J16" s="28">
        <v>2.1153023474160508</v>
      </c>
      <c r="K16" s="28">
        <v>2.0600964879652861</v>
      </c>
      <c r="L16" s="28">
        <v>3.3910284697604283</v>
      </c>
      <c r="M16" s="28">
        <v>3.9661308795320003</v>
      </c>
      <c r="N16" s="28">
        <v>4.0460768788381714</v>
      </c>
      <c r="O16" s="28">
        <v>4.0558043943446416</v>
      </c>
      <c r="P16" s="28">
        <v>3.7169364336760657</v>
      </c>
      <c r="Q16" s="28">
        <v>3.5223557796540725</v>
      </c>
      <c r="R16" s="28">
        <v>4.3053293708924691</v>
      </c>
      <c r="S16" s="67">
        <v>4.911542504744018</v>
      </c>
      <c r="T16" s="409"/>
      <c r="U16" s="58">
        <v>3.706896</v>
      </c>
      <c r="V16" s="414"/>
      <c r="W16" s="422"/>
      <c r="X16" s="126">
        <f>(0/11)*100</f>
        <v>0</v>
      </c>
      <c r="Y16" s="357"/>
      <c r="Z16" s="358"/>
    </row>
    <row r="17" spans="1:59" x14ac:dyDescent="0.2">
      <c r="A17" s="38" t="s">
        <v>6</v>
      </c>
      <c r="B17" s="45" t="s">
        <v>49</v>
      </c>
      <c r="C17" s="45" t="s">
        <v>52</v>
      </c>
      <c r="D17" s="102">
        <v>56</v>
      </c>
      <c r="E17" s="41">
        <v>30560</v>
      </c>
      <c r="F17" s="41">
        <v>3704</v>
      </c>
      <c r="G17" s="46">
        <v>16</v>
      </c>
      <c r="H17" s="412"/>
      <c r="I17" s="68">
        <v>4.6325106815949182</v>
      </c>
      <c r="J17" s="29">
        <v>2.2758793275227158</v>
      </c>
      <c r="K17" s="29">
        <v>2.6877725206781333</v>
      </c>
      <c r="L17" s="29">
        <v>1.8529281883877857</v>
      </c>
      <c r="M17" s="29">
        <v>4.2880988675676948</v>
      </c>
      <c r="N17" s="29">
        <v>4.1186890198152817</v>
      </c>
      <c r="O17" s="29">
        <v>4.1616538222036583</v>
      </c>
      <c r="P17" s="29">
        <v>3.1901455345730505</v>
      </c>
      <c r="Q17" s="29">
        <v>3.7818729688393677</v>
      </c>
      <c r="R17" s="29">
        <v>4.7165925900013805</v>
      </c>
      <c r="S17" s="69">
        <v>5.801061923642858</v>
      </c>
      <c r="T17" s="409"/>
      <c r="U17" s="58">
        <v>3.7733819999999998</v>
      </c>
      <c r="V17" s="415"/>
      <c r="W17" s="422"/>
      <c r="X17" s="126">
        <f>(1/11)*100</f>
        <v>9.0909090909090917</v>
      </c>
      <c r="Y17" s="357"/>
      <c r="Z17" s="358"/>
    </row>
    <row r="18" spans="1:59" x14ac:dyDescent="0.2">
      <c r="A18" s="32" t="s">
        <v>6</v>
      </c>
      <c r="B18" s="43" t="s">
        <v>16</v>
      </c>
      <c r="C18" s="43" t="s">
        <v>53</v>
      </c>
      <c r="D18" s="100">
        <v>64</v>
      </c>
      <c r="E18" s="35">
        <v>10640</v>
      </c>
      <c r="F18" s="35">
        <v>500</v>
      </c>
      <c r="G18" s="44">
        <v>2.5</v>
      </c>
      <c r="H18" s="410" t="s">
        <v>88</v>
      </c>
      <c r="I18" s="130">
        <v>5.0768689827067739</v>
      </c>
      <c r="J18" s="131">
        <v>3.5565751706551914</v>
      </c>
      <c r="K18" s="131">
        <v>5.5326829916974436</v>
      </c>
      <c r="L18" s="131">
        <v>4.1214881446390939</v>
      </c>
      <c r="M18" s="131">
        <v>5.674769670612168</v>
      </c>
      <c r="N18" s="131">
        <v>3.7287476285178243</v>
      </c>
      <c r="O18" s="131">
        <v>5.2084881887316339</v>
      </c>
      <c r="P18" s="131">
        <v>5.3625723684515272</v>
      </c>
      <c r="Q18" s="131">
        <v>4.5543793460256401</v>
      </c>
      <c r="R18" s="131">
        <v>5.4307921236918659</v>
      </c>
      <c r="S18" s="132">
        <v>6.2084732841141266</v>
      </c>
      <c r="T18" s="409"/>
      <c r="U18" s="59">
        <v>4.9505309999999998</v>
      </c>
      <c r="V18" s="416">
        <v>4.7578909999999999</v>
      </c>
      <c r="W18" s="423">
        <v>4.6617579999999998</v>
      </c>
      <c r="X18" s="126">
        <f>(7/11)*100</f>
        <v>63.636363636363633</v>
      </c>
      <c r="Y18" s="357">
        <f>(17/33)*100</f>
        <v>51.515151515151516</v>
      </c>
      <c r="Z18" s="358">
        <f>(27/66)*100</f>
        <v>40.909090909090914</v>
      </c>
    </row>
    <row r="19" spans="1:59" x14ac:dyDescent="0.2">
      <c r="A19" s="37" t="s">
        <v>6</v>
      </c>
      <c r="B19" s="14" t="s">
        <v>16</v>
      </c>
      <c r="C19" s="14" t="s">
        <v>53</v>
      </c>
      <c r="D19" s="100">
        <v>64</v>
      </c>
      <c r="E19" s="12">
        <v>20640</v>
      </c>
      <c r="F19" s="12">
        <v>926</v>
      </c>
      <c r="G19" s="13">
        <v>9.5</v>
      </c>
      <c r="H19" s="411"/>
      <c r="I19" s="133">
        <v>5.5864225773452594</v>
      </c>
      <c r="J19" s="134">
        <v>3.1041525945264135</v>
      </c>
      <c r="K19" s="134">
        <v>5.403205358393989</v>
      </c>
      <c r="L19" s="134">
        <v>4.5441125088125114</v>
      </c>
      <c r="M19" s="134">
        <v>5.9689770811372247</v>
      </c>
      <c r="N19" s="134">
        <v>4.4144380394549483</v>
      </c>
      <c r="O19" s="134">
        <v>5.2197141688446962</v>
      </c>
      <c r="P19" s="134">
        <v>4.7830110007274129</v>
      </c>
      <c r="Q19" s="134">
        <v>4.14834497789154</v>
      </c>
      <c r="R19" s="134">
        <v>4.7778618199481402</v>
      </c>
      <c r="S19" s="135">
        <v>6.0165176185198357</v>
      </c>
      <c r="T19" s="409"/>
      <c r="U19" s="59">
        <v>4.9060689999999996</v>
      </c>
      <c r="V19" s="417"/>
      <c r="W19" s="423"/>
      <c r="X19" s="126">
        <f>(5/11)*100</f>
        <v>45.454545454545453</v>
      </c>
      <c r="Y19" s="357"/>
      <c r="Z19" s="358"/>
    </row>
    <row r="20" spans="1:59" x14ac:dyDescent="0.2">
      <c r="A20" s="38" t="s">
        <v>6</v>
      </c>
      <c r="B20" s="45" t="s">
        <v>16</v>
      </c>
      <c r="C20" s="45" t="s">
        <v>53</v>
      </c>
      <c r="D20" s="102">
        <v>64</v>
      </c>
      <c r="E20" s="41">
        <v>30640</v>
      </c>
      <c r="F20" s="41">
        <v>3704</v>
      </c>
      <c r="G20" s="46">
        <v>19</v>
      </c>
      <c r="H20" s="411"/>
      <c r="I20" s="136">
        <v>5.6978891375819787</v>
      </c>
      <c r="J20" s="137">
        <v>2.4732141010711244</v>
      </c>
      <c r="K20" s="137">
        <v>5.363179699745988</v>
      </c>
      <c r="L20" s="137">
        <v>2.3981703198174604</v>
      </c>
      <c r="M20" s="137">
        <v>5.9680109955790028</v>
      </c>
      <c r="N20" s="137">
        <v>4.1755492919292694</v>
      </c>
      <c r="O20" s="137">
        <v>5.2363659120639419</v>
      </c>
      <c r="P20" s="137">
        <v>3.6814825678399732</v>
      </c>
      <c r="Q20" s="137">
        <v>3.8544403927236921</v>
      </c>
      <c r="R20" s="137">
        <v>3.6415796377405116</v>
      </c>
      <c r="S20" s="138">
        <v>6.0979119118336325</v>
      </c>
      <c r="T20" s="409"/>
      <c r="U20" s="59">
        <v>4.4170720000000001</v>
      </c>
      <c r="V20" s="418"/>
      <c r="W20" s="423"/>
      <c r="X20" s="126">
        <f>(5/11)*100</f>
        <v>45.454545454545453</v>
      </c>
      <c r="Y20" s="357"/>
      <c r="Z20" s="358"/>
    </row>
    <row r="21" spans="1:59" x14ac:dyDescent="0.2">
      <c r="A21" s="32" t="s">
        <v>19</v>
      </c>
      <c r="B21" s="43" t="s">
        <v>20</v>
      </c>
      <c r="C21" s="43" t="s">
        <v>54</v>
      </c>
      <c r="D21" s="100">
        <v>72</v>
      </c>
      <c r="E21" s="35">
        <v>10720</v>
      </c>
      <c r="F21" s="35">
        <v>500</v>
      </c>
      <c r="G21" s="44">
        <v>2</v>
      </c>
      <c r="H21" s="411"/>
      <c r="I21" s="130">
        <v>4.622712443101924</v>
      </c>
      <c r="J21" s="131">
        <v>2.9948996551272735</v>
      </c>
      <c r="K21" s="131">
        <v>4.3065901009012881</v>
      </c>
      <c r="L21" s="131">
        <v>4.4247545631329031</v>
      </c>
      <c r="M21" s="131">
        <v>4.8125307349872921</v>
      </c>
      <c r="N21" s="131">
        <v>4.1308236812735046</v>
      </c>
      <c r="O21" s="131">
        <v>4.8555765907537687</v>
      </c>
      <c r="P21" s="131">
        <v>4.9298724302997456</v>
      </c>
      <c r="Q21" s="131">
        <v>5.0311688216731802</v>
      </c>
      <c r="R21" s="131">
        <v>4.4337630109018313</v>
      </c>
      <c r="S21" s="132">
        <v>5.598171373091561</v>
      </c>
      <c r="T21" s="409"/>
      <c r="U21" s="59">
        <v>4.5582599999999998</v>
      </c>
      <c r="V21" s="416">
        <v>4.565626</v>
      </c>
      <c r="W21" s="423"/>
      <c r="X21" s="126">
        <f>(2/11)*100</f>
        <v>18.181818181818183</v>
      </c>
      <c r="Y21" s="357">
        <f>(10/33)*100</f>
        <v>30.303030303030305</v>
      </c>
      <c r="Z21" s="358"/>
    </row>
    <row r="22" spans="1:59" x14ac:dyDescent="0.2">
      <c r="A22" s="37" t="s">
        <v>19</v>
      </c>
      <c r="B22" s="14" t="s">
        <v>20</v>
      </c>
      <c r="C22" s="14" t="s">
        <v>54</v>
      </c>
      <c r="D22" s="100">
        <v>72</v>
      </c>
      <c r="E22" s="12">
        <v>20720</v>
      </c>
      <c r="F22" s="12">
        <v>926</v>
      </c>
      <c r="G22" s="13">
        <v>3.5</v>
      </c>
      <c r="H22" s="411"/>
      <c r="I22" s="133">
        <v>5.0787256215028656</v>
      </c>
      <c r="J22" s="134">
        <v>3.1151823170258472</v>
      </c>
      <c r="K22" s="134">
        <v>3.9770839307479999</v>
      </c>
      <c r="L22" s="134">
        <v>4.1059213079965451</v>
      </c>
      <c r="M22" s="134">
        <v>6.012976372454176</v>
      </c>
      <c r="N22" s="134">
        <v>4.5255952346406261</v>
      </c>
      <c r="O22" s="134">
        <v>5.1712529906472975</v>
      </c>
      <c r="P22" s="134">
        <v>4.3835583986597291</v>
      </c>
      <c r="Q22" s="134">
        <v>4.5165039564356153</v>
      </c>
      <c r="R22" s="134">
        <v>3.6068024357359163</v>
      </c>
      <c r="S22" s="135">
        <v>6.1140392792233103</v>
      </c>
      <c r="T22" s="409"/>
      <c r="U22" s="59">
        <v>4.600695</v>
      </c>
      <c r="V22" s="417"/>
      <c r="W22" s="423"/>
      <c r="X22" s="126">
        <f>(4/11)*100</f>
        <v>36.363636363636367</v>
      </c>
      <c r="Y22" s="357"/>
      <c r="Z22" s="358"/>
    </row>
    <row r="23" spans="1:59" x14ac:dyDescent="0.2">
      <c r="A23" s="38" t="s">
        <v>19</v>
      </c>
      <c r="B23" s="45" t="s">
        <v>20</v>
      </c>
      <c r="C23" s="45" t="s">
        <v>54</v>
      </c>
      <c r="D23" s="102">
        <v>72</v>
      </c>
      <c r="E23" s="41">
        <v>30720</v>
      </c>
      <c r="F23" s="41">
        <v>3704</v>
      </c>
      <c r="G23" s="46">
        <v>13.5</v>
      </c>
      <c r="H23" s="412"/>
      <c r="I23" s="136">
        <v>5.0415978333944569</v>
      </c>
      <c r="J23" s="137">
        <v>4.1411035015323776</v>
      </c>
      <c r="K23" s="137">
        <v>4.2642705031394748</v>
      </c>
      <c r="L23" s="137">
        <v>2.6871765711071918</v>
      </c>
      <c r="M23" s="137">
        <v>5.2316919850291441</v>
      </c>
      <c r="N23" s="137">
        <v>4.2520903498431686</v>
      </c>
      <c r="O23" s="137">
        <v>4.6477388944252773</v>
      </c>
      <c r="P23" s="137">
        <v>4.2071674417279921</v>
      </c>
      <c r="Q23" s="137">
        <v>4.1260763932830367</v>
      </c>
      <c r="R23" s="137">
        <v>5.2866952593443726</v>
      </c>
      <c r="S23" s="138">
        <v>6.0315395324557644</v>
      </c>
      <c r="T23" s="409"/>
      <c r="U23" s="59">
        <v>4.537922</v>
      </c>
      <c r="V23" s="418"/>
      <c r="W23" s="423"/>
      <c r="X23" s="126">
        <f>(4/11)*100</f>
        <v>36.363636363636367</v>
      </c>
      <c r="Y23" s="357"/>
      <c r="Z23" s="358"/>
    </row>
    <row r="24" spans="1:59" x14ac:dyDescent="0.2">
      <c r="A24" s="32" t="s">
        <v>19</v>
      </c>
      <c r="B24" s="33" t="s">
        <v>24</v>
      </c>
      <c r="C24" s="33" t="s">
        <v>25</v>
      </c>
      <c r="D24" s="100">
        <v>601</v>
      </c>
      <c r="E24" s="34">
        <v>16010</v>
      </c>
      <c r="F24" s="35">
        <v>500</v>
      </c>
      <c r="G24" s="36">
        <v>5</v>
      </c>
      <c r="H24" s="410" t="s">
        <v>84</v>
      </c>
      <c r="I24" s="130">
        <v>6.20500529433777</v>
      </c>
      <c r="J24" s="131">
        <v>3.493599141163128</v>
      </c>
      <c r="K24" s="131">
        <v>5.5203447730270909</v>
      </c>
      <c r="L24" s="131">
        <v>5.39695951051175</v>
      </c>
      <c r="M24" s="131">
        <v>6.2466018588835528</v>
      </c>
      <c r="N24" s="131">
        <v>6.2212035479880869</v>
      </c>
      <c r="O24" s="131">
        <v>6.1967501530598499</v>
      </c>
      <c r="P24" s="131">
        <v>3.9797246517062419</v>
      </c>
      <c r="Q24" s="131">
        <v>4.3954597565811948</v>
      </c>
      <c r="R24" s="131">
        <v>4.2730008915605451</v>
      </c>
      <c r="S24" s="132">
        <v>6.4721552668340356</v>
      </c>
      <c r="T24" s="409"/>
      <c r="U24" s="60">
        <v>5.309164</v>
      </c>
      <c r="V24" s="416">
        <v>4.8700590000000004</v>
      </c>
      <c r="W24" s="356">
        <v>5.1197970000000002</v>
      </c>
      <c r="X24" s="126">
        <f>(7/11)*100</f>
        <v>63.636363636363633</v>
      </c>
      <c r="Y24" s="357">
        <f>(15/33)*100</f>
        <v>45.454545454545453</v>
      </c>
      <c r="Z24" s="358">
        <f>(38/66)*100</f>
        <v>57.575757575757578</v>
      </c>
    </row>
    <row r="25" spans="1:59" x14ac:dyDescent="0.2">
      <c r="A25" s="37" t="s">
        <v>19</v>
      </c>
      <c r="B25" s="15" t="s">
        <v>24</v>
      </c>
      <c r="C25" s="15" t="s">
        <v>25</v>
      </c>
      <c r="D25" s="100">
        <v>601</v>
      </c>
      <c r="E25" s="11">
        <v>26010</v>
      </c>
      <c r="F25" s="12">
        <v>926</v>
      </c>
      <c r="G25" s="9">
        <v>16</v>
      </c>
      <c r="H25" s="411"/>
      <c r="I25" s="133">
        <v>5.9225365102123551</v>
      </c>
      <c r="J25" s="134">
        <v>3.9470680135876419</v>
      </c>
      <c r="K25" s="134">
        <v>6.2801218199702662</v>
      </c>
      <c r="L25" s="134">
        <v>5.2779355327495159</v>
      </c>
      <c r="M25" s="134">
        <v>6.1159857718495365</v>
      </c>
      <c r="N25" s="134">
        <v>4.2306349892531045</v>
      </c>
      <c r="O25" s="134">
        <v>5.6110466401724457</v>
      </c>
      <c r="P25" s="134">
        <v>3.987758905671932</v>
      </c>
      <c r="Q25" s="134">
        <v>4.1954837256096136</v>
      </c>
      <c r="R25" s="134">
        <v>4.1695071580475718</v>
      </c>
      <c r="S25" s="135">
        <v>6.3206565236500403</v>
      </c>
      <c r="T25" s="409"/>
      <c r="U25" s="60">
        <v>5.0962490000000003</v>
      </c>
      <c r="V25" s="417"/>
      <c r="W25" s="356"/>
      <c r="X25" s="126">
        <f>(6/11)*100</f>
        <v>54.54545454545454</v>
      </c>
      <c r="Y25" s="357"/>
      <c r="Z25" s="358"/>
    </row>
    <row r="26" spans="1:59" x14ac:dyDescent="0.2">
      <c r="A26" s="38" t="s">
        <v>19</v>
      </c>
      <c r="B26" s="39" t="s">
        <v>24</v>
      </c>
      <c r="C26" s="39" t="s">
        <v>25</v>
      </c>
      <c r="D26" s="102">
        <v>601</v>
      </c>
      <c r="E26" s="11">
        <v>36010</v>
      </c>
      <c r="F26" s="12">
        <v>3704</v>
      </c>
      <c r="G26" s="9">
        <v>27</v>
      </c>
      <c r="H26" s="411"/>
      <c r="I26" s="136">
        <v>4.2171653405557263</v>
      </c>
      <c r="J26" s="137">
        <v>3.1060262496274391</v>
      </c>
      <c r="K26" s="137">
        <v>5.7952668309464608</v>
      </c>
      <c r="L26" s="137">
        <v>4.7552147468577939</v>
      </c>
      <c r="M26" s="137">
        <v>4.7671555826198153</v>
      </c>
      <c r="N26" s="137">
        <v>5.4109289377100369</v>
      </c>
      <c r="O26" s="137">
        <v>4.1779770811074268</v>
      </c>
      <c r="P26" s="137">
        <v>3.0184334658787719</v>
      </c>
      <c r="Q26" s="137">
        <v>2.2468408429972593</v>
      </c>
      <c r="R26" s="137">
        <v>3.8877357181189676</v>
      </c>
      <c r="S26" s="138">
        <v>4.8696567550269858</v>
      </c>
      <c r="T26" s="409"/>
      <c r="U26" s="59">
        <v>4.2047639999999999</v>
      </c>
      <c r="V26" s="418"/>
      <c r="W26" s="356"/>
      <c r="X26" s="126">
        <f>(2/11)*100</f>
        <v>18.181818181818183</v>
      </c>
      <c r="Y26" s="357"/>
      <c r="Z26" s="358"/>
    </row>
    <row r="27" spans="1:59" s="55" customFormat="1" x14ac:dyDescent="0.2">
      <c r="A27" s="15" t="s">
        <v>19</v>
      </c>
      <c r="B27" s="15" t="s">
        <v>24</v>
      </c>
      <c r="C27" s="15" t="s">
        <v>78</v>
      </c>
      <c r="D27" s="100">
        <v>82</v>
      </c>
      <c r="E27" s="35">
        <v>10820</v>
      </c>
      <c r="F27" s="35">
        <v>500</v>
      </c>
      <c r="G27" s="36">
        <v>5</v>
      </c>
      <c r="H27" s="411"/>
      <c r="I27" s="133">
        <v>5.0138298690800829</v>
      </c>
      <c r="J27" s="134">
        <v>3.4998451635846273</v>
      </c>
      <c r="K27" s="134">
        <v>5.2068130276435829</v>
      </c>
      <c r="L27" s="134">
        <v>5.6809593209698939</v>
      </c>
      <c r="M27" s="134">
        <v>6.3482530765080165</v>
      </c>
      <c r="N27" s="134">
        <v>5.6585637104346933</v>
      </c>
      <c r="O27" s="134">
        <v>5.2229164720049361</v>
      </c>
      <c r="P27" s="134">
        <v>5.874070501037715</v>
      </c>
      <c r="Q27" s="134">
        <v>5.7289674915355091</v>
      </c>
      <c r="R27" s="134">
        <v>4.6270179881916897</v>
      </c>
      <c r="S27" s="135">
        <v>5.993730736906616</v>
      </c>
      <c r="T27" s="409"/>
      <c r="U27" s="60">
        <v>5.3504509999999996</v>
      </c>
      <c r="V27" s="419">
        <v>5.3695349999999999</v>
      </c>
      <c r="W27" s="356"/>
      <c r="X27" s="126">
        <f>(9/11)*100</f>
        <v>81.818181818181827</v>
      </c>
      <c r="Y27" s="357">
        <f>(23/33)*100</f>
        <v>69.696969696969703</v>
      </c>
      <c r="Z27" s="358"/>
      <c r="AA27"/>
      <c r="AB27"/>
      <c r="AC27"/>
      <c r="AD27"/>
      <c r="AE27"/>
      <c r="AF27"/>
      <c r="AG27"/>
      <c r="AH27"/>
      <c r="AI27"/>
      <c r="AJ27"/>
      <c r="AK27"/>
      <c r="AL27"/>
      <c r="AM27"/>
      <c r="AN27"/>
      <c r="AO27"/>
      <c r="AP27"/>
      <c r="AQ27"/>
      <c r="AR27"/>
      <c r="AS27"/>
      <c r="AT27"/>
      <c r="AU27"/>
      <c r="AV27"/>
      <c r="AW27"/>
      <c r="AX27"/>
      <c r="AY27"/>
      <c r="AZ27"/>
      <c r="BA27"/>
      <c r="BB27"/>
      <c r="BC27"/>
      <c r="BD27"/>
      <c r="BE27"/>
      <c r="BF27"/>
      <c r="BG27"/>
    </row>
    <row r="28" spans="1:59" s="55" customFormat="1" x14ac:dyDescent="0.2">
      <c r="A28" s="15" t="s">
        <v>19</v>
      </c>
      <c r="B28" s="15" t="s">
        <v>24</v>
      </c>
      <c r="C28" s="15" t="s">
        <v>78</v>
      </c>
      <c r="D28" s="100">
        <v>82</v>
      </c>
      <c r="E28" s="12">
        <v>20820</v>
      </c>
      <c r="F28" s="12">
        <v>926</v>
      </c>
      <c r="G28" s="9">
        <v>7</v>
      </c>
      <c r="H28" s="411"/>
      <c r="I28" s="133">
        <v>5.6911482561699227</v>
      </c>
      <c r="J28" s="134">
        <v>3.1976218473808595</v>
      </c>
      <c r="K28" s="134">
        <v>5.3941045643008394</v>
      </c>
      <c r="L28" s="134">
        <v>6.5869797881777883</v>
      </c>
      <c r="M28" s="134">
        <v>6.5269664745436842</v>
      </c>
      <c r="N28" s="134">
        <v>5.8875892735316757</v>
      </c>
      <c r="O28" s="134">
        <v>5.4300268199874511</v>
      </c>
      <c r="P28" s="134">
        <v>6.1371166351699165</v>
      </c>
      <c r="Q28" s="134">
        <v>5.5408778629984301</v>
      </c>
      <c r="R28" s="134">
        <v>4.2001542955611155</v>
      </c>
      <c r="S28" s="135">
        <v>6.2390253290419979</v>
      </c>
      <c r="T28" s="409"/>
      <c r="U28" s="60">
        <v>5.5301470000000004</v>
      </c>
      <c r="V28" s="420"/>
      <c r="W28" s="356"/>
      <c r="X28" s="126">
        <f>(9/11)*100</f>
        <v>81.818181818181827</v>
      </c>
      <c r="Y28" s="357"/>
      <c r="Z28" s="358"/>
      <c r="AA28"/>
      <c r="AB28"/>
      <c r="AC28"/>
      <c r="AD28"/>
      <c r="AE28"/>
      <c r="AF28"/>
      <c r="AG28"/>
      <c r="AH28"/>
      <c r="AI28"/>
      <c r="AJ28"/>
      <c r="AK28"/>
      <c r="AL28"/>
      <c r="AM28"/>
      <c r="AN28"/>
      <c r="AO28"/>
      <c r="AP28"/>
      <c r="AQ28"/>
      <c r="AR28"/>
      <c r="AS28"/>
      <c r="AT28"/>
      <c r="AU28"/>
      <c r="AV28"/>
      <c r="AW28"/>
      <c r="AX28"/>
      <c r="AY28"/>
      <c r="AZ28"/>
      <c r="BA28"/>
      <c r="BB28"/>
      <c r="BC28"/>
      <c r="BD28"/>
      <c r="BE28"/>
      <c r="BF28"/>
      <c r="BG28"/>
    </row>
    <row r="29" spans="1:59" s="55" customFormat="1" x14ac:dyDescent="0.2">
      <c r="A29" s="15" t="s">
        <v>19</v>
      </c>
      <c r="B29" s="15" t="s">
        <v>24</v>
      </c>
      <c r="C29" s="15" t="s">
        <v>78</v>
      </c>
      <c r="D29" s="102">
        <v>82</v>
      </c>
      <c r="E29" s="12">
        <v>30820</v>
      </c>
      <c r="F29" s="12">
        <v>3704</v>
      </c>
      <c r="G29" s="9">
        <v>15</v>
      </c>
      <c r="H29" s="412"/>
      <c r="I29" s="136">
        <v>4.5558109088692236</v>
      </c>
      <c r="J29" s="137">
        <v>4.6385475670604848</v>
      </c>
      <c r="K29" s="137">
        <v>6.1639291772963105</v>
      </c>
      <c r="L29" s="137">
        <v>6.0866910687999809</v>
      </c>
      <c r="M29" s="137">
        <v>6.0171430598554911</v>
      </c>
      <c r="N29" s="137">
        <v>4.8066112422247471</v>
      </c>
      <c r="O29" s="137">
        <v>4.5086927877656828</v>
      </c>
      <c r="P29" s="137">
        <v>5.1822886438608551</v>
      </c>
      <c r="Q29" s="137">
        <v>4.7055098577072583</v>
      </c>
      <c r="R29" s="137">
        <v>4.7495407340002922</v>
      </c>
      <c r="S29" s="138">
        <v>6.0933043825590856</v>
      </c>
      <c r="T29" s="409"/>
      <c r="U29" s="60">
        <v>5.2280059999999997</v>
      </c>
      <c r="V29" s="421"/>
      <c r="W29" s="356"/>
      <c r="X29" s="126">
        <f>(5/11)*100</f>
        <v>45.454545454545453</v>
      </c>
      <c r="Y29" s="357"/>
      <c r="Z29" s="358"/>
      <c r="AA29"/>
      <c r="AB29"/>
      <c r="AC29"/>
      <c r="AD29"/>
      <c r="AE29"/>
      <c r="AF29"/>
      <c r="AG29"/>
      <c r="AH29"/>
      <c r="AI29"/>
      <c r="AJ29"/>
      <c r="AK29"/>
      <c r="AL29"/>
      <c r="AM29"/>
      <c r="AN29"/>
      <c r="AO29"/>
      <c r="AP29"/>
      <c r="AQ29"/>
      <c r="AR29"/>
      <c r="AS29"/>
      <c r="AT29"/>
      <c r="AU29"/>
      <c r="AV29"/>
      <c r="AW29"/>
      <c r="AX29"/>
      <c r="AY29"/>
      <c r="AZ29"/>
      <c r="BA29"/>
      <c r="BB29"/>
      <c r="BC29"/>
      <c r="BD29"/>
      <c r="BE29"/>
      <c r="BF29"/>
      <c r="BG29"/>
    </row>
    <row r="30" spans="1:59" x14ac:dyDescent="0.2">
      <c r="A30" s="56"/>
      <c r="B30" s="56"/>
      <c r="C30" s="56"/>
      <c r="E30" s="56"/>
      <c r="F30" s="56"/>
      <c r="G30" s="56"/>
      <c r="H30" s="57"/>
    </row>
    <row r="33" spans="2:4" x14ac:dyDescent="0.2">
      <c r="B33" s="5"/>
      <c r="D33" s="100"/>
    </row>
    <row r="34" spans="2:4" x14ac:dyDescent="0.2">
      <c r="B34" s="5"/>
      <c r="D34" s="100"/>
    </row>
    <row r="35" spans="2:4" x14ac:dyDescent="0.2">
      <c r="B35" s="5"/>
      <c r="D35" s="100"/>
    </row>
    <row r="36" spans="2:4" x14ac:dyDescent="0.2">
      <c r="B36" s="5"/>
      <c r="D36" s="100"/>
    </row>
    <row r="37" spans="2:4" x14ac:dyDescent="0.2">
      <c r="B37" s="5"/>
      <c r="D37" s="100"/>
    </row>
    <row r="38" spans="2:4" x14ac:dyDescent="0.2">
      <c r="B38" s="5"/>
      <c r="D38" s="100"/>
    </row>
  </sheetData>
  <mergeCells count="33">
    <mergeCell ref="Y21:Y23"/>
    <mergeCell ref="V24:V26"/>
    <mergeCell ref="V27:V29"/>
    <mergeCell ref="U1:W1"/>
    <mergeCell ref="X1:Z1"/>
    <mergeCell ref="W3:W11"/>
    <mergeCell ref="W12:W17"/>
    <mergeCell ref="W18:W23"/>
    <mergeCell ref="Y3:Y5"/>
    <mergeCell ref="Z3:Z11"/>
    <mergeCell ref="Y6:Y8"/>
    <mergeCell ref="Y9:Y11"/>
    <mergeCell ref="Y12:Y14"/>
    <mergeCell ref="Z12:Z17"/>
    <mergeCell ref="Y15:Y17"/>
    <mergeCell ref="Y18:Y20"/>
    <mergeCell ref="Z18:Z23"/>
    <mergeCell ref="Y24:Y26"/>
    <mergeCell ref="Y27:Y29"/>
    <mergeCell ref="Z24:Z29"/>
    <mergeCell ref="T3:T29"/>
    <mergeCell ref="H3:H11"/>
    <mergeCell ref="H12:H17"/>
    <mergeCell ref="H18:H23"/>
    <mergeCell ref="H24:H29"/>
    <mergeCell ref="W24:W29"/>
    <mergeCell ref="V3:V5"/>
    <mergeCell ref="V6:V8"/>
    <mergeCell ref="V9:V11"/>
    <mergeCell ref="V12:V14"/>
    <mergeCell ref="V15:V17"/>
    <mergeCell ref="V18:V20"/>
    <mergeCell ref="V21:V23"/>
  </mergeCells>
  <phoneticPr fontId="16" type="noConversion"/>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G38"/>
  <sheetViews>
    <sheetView topLeftCell="N5" workbookViewId="0">
      <selection activeCell="X4" sqref="X4"/>
    </sheetView>
  </sheetViews>
  <sheetFormatPr defaultRowHeight="12.75" x14ac:dyDescent="0.2"/>
  <cols>
    <col min="1" max="1" width="5.7109375" style="12" customWidth="1"/>
    <col min="2" max="2" width="22.85546875" style="15" bestFit="1" customWidth="1"/>
    <col min="3" max="3" width="38" style="15" bestFit="1" customWidth="1"/>
    <col min="4" max="4" width="10.42578125" style="15" customWidth="1"/>
    <col min="5" max="5" width="9.7109375" style="12" bestFit="1" customWidth="1"/>
    <col min="6" max="6" width="11" style="15" customWidth="1"/>
    <col min="7" max="7" width="10.5703125" style="15" customWidth="1"/>
    <col min="8" max="8" width="17.5703125" style="15" bestFit="1" customWidth="1"/>
    <col min="17" max="17" width="11.5703125" bestFit="1" customWidth="1"/>
    <col min="19" max="19" width="10.140625" bestFit="1" customWidth="1"/>
    <col min="20" max="20" width="9.5703125" bestFit="1" customWidth="1"/>
    <col min="21" max="21" width="10.42578125" customWidth="1"/>
    <col min="22" max="22" width="10.28515625" customWidth="1"/>
    <col min="23" max="23" width="12.42578125" customWidth="1"/>
    <col min="24" max="24" width="14.42578125" bestFit="1" customWidth="1"/>
    <col min="25" max="25" width="13.7109375" customWidth="1"/>
    <col min="26" max="26" width="15.7109375" customWidth="1"/>
  </cols>
  <sheetData>
    <row r="1" spans="1:26" ht="43.5" customHeight="1" x14ac:dyDescent="0.2">
      <c r="U1" s="371" t="s">
        <v>90</v>
      </c>
      <c r="V1" s="371"/>
      <c r="W1" s="371"/>
      <c r="X1" s="371" t="s">
        <v>94</v>
      </c>
      <c r="Y1" s="371"/>
      <c r="Z1" s="371"/>
    </row>
    <row r="2" spans="1:26" s="10" customFormat="1" ht="46.5" customHeight="1" x14ac:dyDescent="0.2">
      <c r="A2" s="74" t="s">
        <v>0</v>
      </c>
      <c r="B2" s="75" t="s">
        <v>1</v>
      </c>
      <c r="C2" s="74" t="s">
        <v>2</v>
      </c>
      <c r="D2" s="25" t="s">
        <v>89</v>
      </c>
      <c r="E2" s="74" t="s">
        <v>81</v>
      </c>
      <c r="F2" s="74" t="s">
        <v>4</v>
      </c>
      <c r="G2" s="74" t="s">
        <v>5</v>
      </c>
      <c r="H2" s="1" t="s">
        <v>85</v>
      </c>
      <c r="I2" s="25" t="s">
        <v>28</v>
      </c>
      <c r="J2" s="25" t="s">
        <v>29</v>
      </c>
      <c r="K2" s="25" t="s">
        <v>30</v>
      </c>
      <c r="L2" s="25" t="s">
        <v>31</v>
      </c>
      <c r="M2" s="25" t="s">
        <v>45</v>
      </c>
      <c r="N2" s="25" t="s">
        <v>77</v>
      </c>
      <c r="O2" s="25" t="s">
        <v>76</v>
      </c>
      <c r="P2" s="25" t="s">
        <v>75</v>
      </c>
      <c r="Q2" s="25" t="s">
        <v>74</v>
      </c>
      <c r="R2" s="25" t="s">
        <v>42</v>
      </c>
      <c r="S2" s="25" t="s">
        <v>43</v>
      </c>
      <c r="T2" s="76" t="s">
        <v>44</v>
      </c>
      <c r="U2" s="25" t="s">
        <v>71</v>
      </c>
      <c r="V2" s="26" t="s">
        <v>72</v>
      </c>
      <c r="W2" s="26" t="s">
        <v>80</v>
      </c>
      <c r="X2" s="123" t="s">
        <v>91</v>
      </c>
      <c r="Y2" s="123" t="s">
        <v>92</v>
      </c>
      <c r="Z2" s="123" t="s">
        <v>93</v>
      </c>
    </row>
    <row r="3" spans="1:26" ht="12.75" customHeight="1" x14ac:dyDescent="0.2">
      <c r="A3" s="32" t="s">
        <v>6</v>
      </c>
      <c r="B3" s="50" t="s">
        <v>9</v>
      </c>
      <c r="C3" s="50" t="s">
        <v>46</v>
      </c>
      <c r="D3" s="101">
        <v>8</v>
      </c>
      <c r="E3" s="47">
        <v>10080</v>
      </c>
      <c r="F3" s="35">
        <v>500</v>
      </c>
      <c r="G3" s="115">
        <v>2</v>
      </c>
      <c r="H3" s="424" t="s">
        <v>82</v>
      </c>
      <c r="I3" s="103"/>
      <c r="J3" s="104"/>
      <c r="K3" s="104">
        <v>2.1905911402711187</v>
      </c>
      <c r="L3" s="104"/>
      <c r="M3" s="104"/>
      <c r="N3" s="104">
        <v>3.9363902289076798</v>
      </c>
      <c r="O3" s="104">
        <v>4.1075138323594924</v>
      </c>
      <c r="P3" s="104">
        <v>4.0553141397604939</v>
      </c>
      <c r="Q3" s="104">
        <v>3.6998407710477141</v>
      </c>
      <c r="R3" s="104">
        <v>3.6983484464297831</v>
      </c>
      <c r="S3" s="104"/>
      <c r="T3" s="105">
        <v>4.0556251499034159</v>
      </c>
      <c r="U3" s="112">
        <v>3.6776599999999999</v>
      </c>
      <c r="V3" s="413">
        <v>3.7430150000000002</v>
      </c>
      <c r="W3" s="422">
        <v>3.8980950000000001</v>
      </c>
      <c r="X3" s="124">
        <v>0</v>
      </c>
      <c r="Y3" s="428">
        <f>(1/21)*100</f>
        <v>4.7619047619047619</v>
      </c>
      <c r="Z3" s="358">
        <f>(4/63)*100</f>
        <v>6.3492063492063489</v>
      </c>
    </row>
    <row r="4" spans="1:26" x14ac:dyDescent="0.2">
      <c r="A4" s="37" t="s">
        <v>6</v>
      </c>
      <c r="B4" s="4" t="s">
        <v>9</v>
      </c>
      <c r="C4" s="4" t="s">
        <v>46</v>
      </c>
      <c r="D4" s="100">
        <v>8</v>
      </c>
      <c r="E4" s="7">
        <v>20080</v>
      </c>
      <c r="F4" s="12">
        <v>926</v>
      </c>
      <c r="G4" s="116">
        <v>4.5</v>
      </c>
      <c r="H4" s="425"/>
      <c r="I4" s="106"/>
      <c r="J4" s="107"/>
      <c r="K4" s="107">
        <v>2.6542366768457848</v>
      </c>
      <c r="L4" s="107"/>
      <c r="M4" s="107"/>
      <c r="N4" s="107">
        <v>4.2551684559188514</v>
      </c>
      <c r="O4" s="107">
        <v>5.0506803502395012</v>
      </c>
      <c r="P4" s="107">
        <v>3.995737116766096</v>
      </c>
      <c r="Q4" s="107">
        <v>2.9841246355133388</v>
      </c>
      <c r="R4" s="107">
        <v>3.6698288435588067</v>
      </c>
      <c r="S4" s="107"/>
      <c r="T4" s="108">
        <v>4.0217713895428222</v>
      </c>
      <c r="U4" s="112">
        <v>3.8045070000000001</v>
      </c>
      <c r="V4" s="414"/>
      <c r="W4" s="422"/>
      <c r="X4" s="124">
        <f>(1/7)*100</f>
        <v>14.285714285714285</v>
      </c>
      <c r="Y4" s="428"/>
      <c r="Z4" s="358"/>
    </row>
    <row r="5" spans="1:26" x14ac:dyDescent="0.2">
      <c r="A5" s="38" t="s">
        <v>6</v>
      </c>
      <c r="B5" s="52" t="s">
        <v>9</v>
      </c>
      <c r="C5" s="52" t="s">
        <v>46</v>
      </c>
      <c r="D5" s="102">
        <v>8</v>
      </c>
      <c r="E5" s="48">
        <v>30080</v>
      </c>
      <c r="F5" s="41">
        <v>3704</v>
      </c>
      <c r="G5" s="117">
        <v>13</v>
      </c>
      <c r="H5" s="425"/>
      <c r="I5" s="109"/>
      <c r="J5" s="110"/>
      <c r="K5" s="110">
        <v>2.7066940784417866</v>
      </c>
      <c r="L5" s="110"/>
      <c r="M5" s="110"/>
      <c r="N5" s="110">
        <v>4.2544987546487025</v>
      </c>
      <c r="O5" s="110">
        <v>3.9525000962940711</v>
      </c>
      <c r="P5" s="110">
        <v>4.6221871904913066</v>
      </c>
      <c r="Q5" s="110">
        <v>2.848546307194086</v>
      </c>
      <c r="R5" s="110">
        <v>3.6991109446698309</v>
      </c>
      <c r="S5" s="110"/>
      <c r="T5" s="111">
        <v>4.1446072345387037</v>
      </c>
      <c r="U5" s="112">
        <v>3.7468780000000002</v>
      </c>
      <c r="V5" s="415"/>
      <c r="W5" s="422"/>
      <c r="X5" s="124">
        <v>0</v>
      </c>
      <c r="Y5" s="428"/>
      <c r="Z5" s="358"/>
    </row>
    <row r="6" spans="1:26" x14ac:dyDescent="0.2">
      <c r="A6" s="32" t="s">
        <v>6</v>
      </c>
      <c r="B6" s="50" t="s">
        <v>12</v>
      </c>
      <c r="C6" s="50" t="s">
        <v>47</v>
      </c>
      <c r="D6" s="101">
        <v>24</v>
      </c>
      <c r="E6" s="47">
        <v>10240</v>
      </c>
      <c r="F6" s="35">
        <v>500</v>
      </c>
      <c r="G6" s="118">
        <v>2.5</v>
      </c>
      <c r="H6" s="425"/>
      <c r="I6" s="103"/>
      <c r="J6" s="104"/>
      <c r="K6" s="104">
        <v>2.6175034285379564</v>
      </c>
      <c r="L6" s="104"/>
      <c r="M6" s="104"/>
      <c r="N6" s="104">
        <v>5.1463212383672987</v>
      </c>
      <c r="O6" s="104">
        <v>4.4742704346004665</v>
      </c>
      <c r="P6" s="104">
        <v>4.9258783009890186</v>
      </c>
      <c r="Q6" s="104">
        <v>3.6768605732051292</v>
      </c>
      <c r="R6" s="104">
        <v>4.0765481835184181</v>
      </c>
      <c r="S6" s="104"/>
      <c r="T6" s="105">
        <v>3.5866572862571373</v>
      </c>
      <c r="U6" s="113">
        <v>4.072006</v>
      </c>
      <c r="V6" s="416">
        <v>4.0082810000000002</v>
      </c>
      <c r="W6" s="422"/>
      <c r="X6" s="124">
        <f>(1/7)*100</f>
        <v>14.285714285714285</v>
      </c>
      <c r="Y6" s="428">
        <f>(3/21)*100</f>
        <v>14.285714285714285</v>
      </c>
      <c r="Z6" s="358"/>
    </row>
    <row r="7" spans="1:26" x14ac:dyDescent="0.2">
      <c r="A7" s="37" t="s">
        <v>6</v>
      </c>
      <c r="B7" s="4" t="s">
        <v>12</v>
      </c>
      <c r="C7" s="4" t="s">
        <v>47</v>
      </c>
      <c r="D7" s="100">
        <v>24</v>
      </c>
      <c r="E7" s="7">
        <v>20240</v>
      </c>
      <c r="F7" s="12">
        <v>926</v>
      </c>
      <c r="G7" s="119">
        <v>6.5</v>
      </c>
      <c r="H7" s="425"/>
      <c r="I7" s="106"/>
      <c r="J7" s="107"/>
      <c r="K7" s="107">
        <v>2.4311524843545866</v>
      </c>
      <c r="L7" s="107"/>
      <c r="M7" s="107"/>
      <c r="N7" s="107">
        <v>4.5506165151974427</v>
      </c>
      <c r="O7" s="107">
        <v>4.5345746716692243</v>
      </c>
      <c r="P7" s="107">
        <v>5.286289883149843</v>
      </c>
      <c r="Q7" s="107">
        <v>3.561429148307047</v>
      </c>
      <c r="R7" s="107">
        <v>3.5139269881051245</v>
      </c>
      <c r="S7" s="107"/>
      <c r="T7" s="108">
        <v>4.3073327071242398</v>
      </c>
      <c r="U7" s="113">
        <v>4.0264740000000003</v>
      </c>
      <c r="V7" s="417"/>
      <c r="W7" s="422"/>
      <c r="X7" s="124">
        <f>(1/7)*100</f>
        <v>14.285714285714285</v>
      </c>
      <c r="Y7" s="428"/>
      <c r="Z7" s="358"/>
    </row>
    <row r="8" spans="1:26" x14ac:dyDescent="0.2">
      <c r="A8" s="38" t="s">
        <v>6</v>
      </c>
      <c r="B8" s="52" t="s">
        <v>12</v>
      </c>
      <c r="C8" s="52" t="s">
        <v>47</v>
      </c>
      <c r="D8" s="102">
        <v>24</v>
      </c>
      <c r="E8" s="48">
        <v>30240</v>
      </c>
      <c r="F8" s="41">
        <v>3704</v>
      </c>
      <c r="G8" s="117">
        <v>15</v>
      </c>
      <c r="H8" s="425"/>
      <c r="I8" s="109"/>
      <c r="J8" s="110"/>
      <c r="K8" s="110">
        <v>2.9384360067790571</v>
      </c>
      <c r="L8" s="110"/>
      <c r="M8" s="110"/>
      <c r="N8" s="110">
        <v>4.6753673373190709</v>
      </c>
      <c r="O8" s="110">
        <v>5.156286905463503</v>
      </c>
      <c r="P8" s="110">
        <v>4.0718329349767757</v>
      </c>
      <c r="Q8" s="110">
        <v>2.662974372065996</v>
      </c>
      <c r="R8" s="110">
        <v>4.0577504749824298</v>
      </c>
      <c r="S8" s="110"/>
      <c r="T8" s="111">
        <v>3.9218942466602114</v>
      </c>
      <c r="U8" s="112">
        <v>3.9263629999999998</v>
      </c>
      <c r="V8" s="418"/>
      <c r="W8" s="422"/>
      <c r="X8" s="124">
        <f>(1/7)*100</f>
        <v>14.285714285714285</v>
      </c>
      <c r="Y8" s="428"/>
      <c r="Z8" s="358"/>
    </row>
    <row r="9" spans="1:26" x14ac:dyDescent="0.2">
      <c r="A9" s="32" t="s">
        <v>6</v>
      </c>
      <c r="B9" s="49" t="s">
        <v>13</v>
      </c>
      <c r="C9" s="50" t="s">
        <v>48</v>
      </c>
      <c r="D9" s="101">
        <v>40</v>
      </c>
      <c r="E9" s="47">
        <v>10400</v>
      </c>
      <c r="F9" s="35">
        <v>500</v>
      </c>
      <c r="G9" s="118">
        <v>3</v>
      </c>
      <c r="H9" s="425"/>
      <c r="I9" s="103"/>
      <c r="J9" s="104"/>
      <c r="K9" s="104">
        <v>3.5586965157475299</v>
      </c>
      <c r="L9" s="104"/>
      <c r="M9" s="104"/>
      <c r="N9" s="104">
        <v>4.3167657222083573</v>
      </c>
      <c r="O9" s="104">
        <v>4.3960159566188564</v>
      </c>
      <c r="P9" s="104">
        <v>4.5402783522063768</v>
      </c>
      <c r="Q9" s="104">
        <v>3.8171740747526401</v>
      </c>
      <c r="R9" s="104">
        <v>3.9101252895606438</v>
      </c>
      <c r="S9" s="104"/>
      <c r="T9" s="105">
        <v>4.1448076917887535</v>
      </c>
      <c r="U9" s="113">
        <v>4.0976949999999999</v>
      </c>
      <c r="V9" s="413">
        <v>3.94299</v>
      </c>
      <c r="W9" s="422"/>
      <c r="X9" s="124">
        <v>0</v>
      </c>
      <c r="Y9" s="428">
        <f>(0/21)*100</f>
        <v>0</v>
      </c>
      <c r="Z9" s="358"/>
    </row>
    <row r="10" spans="1:26" x14ac:dyDescent="0.2">
      <c r="A10" s="37" t="s">
        <v>6</v>
      </c>
      <c r="B10" s="6" t="s">
        <v>13</v>
      </c>
      <c r="C10" s="4" t="s">
        <v>48</v>
      </c>
      <c r="D10" s="100">
        <v>40</v>
      </c>
      <c r="E10" s="7">
        <v>20400</v>
      </c>
      <c r="F10" s="12">
        <v>926</v>
      </c>
      <c r="G10" s="119">
        <v>6.5</v>
      </c>
      <c r="H10" s="425"/>
      <c r="I10" s="106"/>
      <c r="J10" s="107"/>
      <c r="K10" s="107">
        <v>3.2004332099747881</v>
      </c>
      <c r="L10" s="107"/>
      <c r="M10" s="107"/>
      <c r="N10" s="107">
        <v>3.9895073688365179</v>
      </c>
      <c r="O10" s="107">
        <v>4.8233373701758069</v>
      </c>
      <c r="P10" s="107">
        <v>4.3422663940198012</v>
      </c>
      <c r="Q10" s="107">
        <v>3.962189817464957</v>
      </c>
      <c r="R10" s="107">
        <v>3.7078844941169553</v>
      </c>
      <c r="S10" s="107"/>
      <c r="T10" s="108">
        <v>4.5535029664963274</v>
      </c>
      <c r="U10" s="113">
        <v>4.082732</v>
      </c>
      <c r="V10" s="414"/>
      <c r="W10" s="422"/>
      <c r="X10" s="124">
        <v>0</v>
      </c>
      <c r="Y10" s="428"/>
      <c r="Z10" s="358"/>
    </row>
    <row r="11" spans="1:26" x14ac:dyDescent="0.2">
      <c r="A11" s="38" t="s">
        <v>6</v>
      </c>
      <c r="B11" s="51" t="s">
        <v>13</v>
      </c>
      <c r="C11" s="52" t="s">
        <v>48</v>
      </c>
      <c r="D11" s="102">
        <v>40</v>
      </c>
      <c r="E11" s="48">
        <v>30400</v>
      </c>
      <c r="F11" s="41">
        <v>3704</v>
      </c>
      <c r="G11" s="117">
        <v>15</v>
      </c>
      <c r="H11" s="426"/>
      <c r="I11" s="109"/>
      <c r="J11" s="110"/>
      <c r="K11" s="110">
        <v>2.2842523919361963</v>
      </c>
      <c r="L11" s="110"/>
      <c r="M11" s="110"/>
      <c r="N11" s="110">
        <v>4.3456519936055242</v>
      </c>
      <c r="O11" s="110">
        <v>2.9089286177225748</v>
      </c>
      <c r="P11" s="110">
        <v>4.3069768213234418</v>
      </c>
      <c r="Q11" s="110">
        <v>3.9311487562728042</v>
      </c>
      <c r="R11" s="110">
        <v>3.5260447915310498</v>
      </c>
      <c r="S11" s="110"/>
      <c r="T11" s="111">
        <v>4.2368004935608967</v>
      </c>
      <c r="U11" s="112">
        <v>3.6485430000000001</v>
      </c>
      <c r="V11" s="415"/>
      <c r="W11" s="422"/>
      <c r="X11" s="124">
        <v>0</v>
      </c>
      <c r="Y11" s="428"/>
      <c r="Z11" s="358"/>
    </row>
    <row r="12" spans="1:26" x14ac:dyDescent="0.2">
      <c r="A12" s="32" t="s">
        <v>6</v>
      </c>
      <c r="B12" s="43" t="s">
        <v>50</v>
      </c>
      <c r="C12" s="43" t="s">
        <v>51</v>
      </c>
      <c r="D12" s="101">
        <v>53</v>
      </c>
      <c r="E12" s="47">
        <v>10530</v>
      </c>
      <c r="F12" s="35">
        <v>500</v>
      </c>
      <c r="G12" s="118">
        <v>5</v>
      </c>
      <c r="H12" s="424" t="s">
        <v>83</v>
      </c>
      <c r="I12" s="103"/>
      <c r="J12" s="104"/>
      <c r="K12" s="104">
        <v>2.4734565530642914</v>
      </c>
      <c r="L12" s="104"/>
      <c r="M12" s="104"/>
      <c r="N12" s="104"/>
      <c r="O12" s="104">
        <v>4.1739805521520692</v>
      </c>
      <c r="P12" s="104">
        <v>4.4217205623214424</v>
      </c>
      <c r="Q12" s="104">
        <v>4.1023983213552873</v>
      </c>
      <c r="R12" s="104">
        <v>4.9090573540441031</v>
      </c>
      <c r="S12" s="104"/>
      <c r="T12" s="105">
        <v>4.6462652385536618</v>
      </c>
      <c r="U12" s="113">
        <v>4.1211460000000004</v>
      </c>
      <c r="V12" s="416">
        <v>4.0390009999999998</v>
      </c>
      <c r="W12" s="422">
        <v>3.8895360000000001</v>
      </c>
      <c r="X12" s="124">
        <v>0</v>
      </c>
      <c r="Y12" s="428">
        <f>(0/18)*100</f>
        <v>0</v>
      </c>
      <c r="Z12" s="427">
        <f>(0/36)*100</f>
        <v>0</v>
      </c>
    </row>
    <row r="13" spans="1:26" x14ac:dyDescent="0.2">
      <c r="A13" s="37" t="s">
        <v>6</v>
      </c>
      <c r="B13" s="14" t="s">
        <v>50</v>
      </c>
      <c r="C13" s="14" t="s">
        <v>51</v>
      </c>
      <c r="D13" s="100">
        <v>53</v>
      </c>
      <c r="E13" s="7">
        <v>20530</v>
      </c>
      <c r="F13" s="12">
        <v>926</v>
      </c>
      <c r="G13" s="119">
        <v>6</v>
      </c>
      <c r="H13" s="425"/>
      <c r="I13" s="106"/>
      <c r="J13" s="107"/>
      <c r="K13" s="107">
        <v>3.2794454053119457</v>
      </c>
      <c r="L13" s="107"/>
      <c r="M13" s="107"/>
      <c r="N13" s="107"/>
      <c r="O13" s="107">
        <v>4.3399855877080435</v>
      </c>
      <c r="P13" s="107">
        <v>3.5532613314363743</v>
      </c>
      <c r="Q13" s="107">
        <v>3.5970353503690422</v>
      </c>
      <c r="R13" s="107">
        <v>4.5078711789041295</v>
      </c>
      <c r="S13" s="107"/>
      <c r="T13" s="108">
        <v>4.5337957591754279</v>
      </c>
      <c r="U13" s="112">
        <v>3.968566</v>
      </c>
      <c r="V13" s="417"/>
      <c r="W13" s="422"/>
      <c r="X13" s="124">
        <v>0</v>
      </c>
      <c r="Y13" s="428"/>
      <c r="Z13" s="427"/>
    </row>
    <row r="14" spans="1:26" x14ac:dyDescent="0.2">
      <c r="A14" s="38" t="s">
        <v>6</v>
      </c>
      <c r="B14" s="45" t="s">
        <v>50</v>
      </c>
      <c r="C14" s="45" t="s">
        <v>51</v>
      </c>
      <c r="D14" s="102">
        <v>53</v>
      </c>
      <c r="E14" s="48">
        <v>30530</v>
      </c>
      <c r="F14" s="41">
        <v>3704</v>
      </c>
      <c r="G14" s="117">
        <v>14</v>
      </c>
      <c r="H14" s="425"/>
      <c r="I14" s="109"/>
      <c r="J14" s="110"/>
      <c r="K14" s="110">
        <v>3.8279945484040256</v>
      </c>
      <c r="L14" s="110"/>
      <c r="M14" s="110"/>
      <c r="N14" s="110"/>
      <c r="O14" s="110">
        <v>4.5089348678166532</v>
      </c>
      <c r="P14" s="110">
        <v>3.5817840845390636</v>
      </c>
      <c r="Q14" s="110">
        <v>4.07621373085989</v>
      </c>
      <c r="R14" s="110">
        <v>4.2344875273098044</v>
      </c>
      <c r="S14" s="110"/>
      <c r="T14" s="111">
        <v>3.9343309797926946</v>
      </c>
      <c r="U14" s="113">
        <v>4.027291</v>
      </c>
      <c r="V14" s="418"/>
      <c r="W14" s="422"/>
      <c r="X14" s="124">
        <v>0</v>
      </c>
      <c r="Y14" s="428"/>
      <c r="Z14" s="427"/>
    </row>
    <row r="15" spans="1:26" x14ac:dyDescent="0.2">
      <c r="A15" s="32" t="s">
        <v>6</v>
      </c>
      <c r="B15" s="43" t="s">
        <v>49</v>
      </c>
      <c r="C15" s="43" t="s">
        <v>52</v>
      </c>
      <c r="D15" s="101">
        <v>56</v>
      </c>
      <c r="E15" s="47">
        <v>10560</v>
      </c>
      <c r="F15" s="35">
        <v>500</v>
      </c>
      <c r="G15" s="118">
        <v>2.5</v>
      </c>
      <c r="H15" s="425"/>
      <c r="I15" s="103"/>
      <c r="J15" s="104"/>
      <c r="K15" s="104">
        <v>2.3776136477071019</v>
      </c>
      <c r="L15" s="104"/>
      <c r="M15" s="104"/>
      <c r="N15" s="104"/>
      <c r="O15" s="104">
        <v>3.6149504377580075</v>
      </c>
      <c r="P15" s="104">
        <v>3.6530111544714527</v>
      </c>
      <c r="Q15" s="104">
        <v>3.9193166279299896</v>
      </c>
      <c r="R15" s="104">
        <v>4.3052603849779265</v>
      </c>
      <c r="S15" s="104"/>
      <c r="T15" s="105">
        <v>4.0217432875896471</v>
      </c>
      <c r="U15" s="112">
        <v>3.6486489999999998</v>
      </c>
      <c r="V15" s="413">
        <v>3.7400699999999998</v>
      </c>
      <c r="W15" s="422"/>
      <c r="X15" s="124">
        <v>0</v>
      </c>
      <c r="Y15" s="428">
        <f>(0/18)*100</f>
        <v>0</v>
      </c>
      <c r="Z15" s="427"/>
    </row>
    <row r="16" spans="1:26" x14ac:dyDescent="0.2">
      <c r="A16" s="37" t="s">
        <v>6</v>
      </c>
      <c r="B16" s="14" t="s">
        <v>49</v>
      </c>
      <c r="C16" s="14" t="s">
        <v>52</v>
      </c>
      <c r="D16" s="100">
        <v>56</v>
      </c>
      <c r="E16" s="12">
        <v>20560</v>
      </c>
      <c r="F16" s="12">
        <v>926</v>
      </c>
      <c r="G16" s="119">
        <v>5</v>
      </c>
      <c r="H16" s="425"/>
      <c r="I16" s="106"/>
      <c r="J16" s="107"/>
      <c r="K16" s="107">
        <v>2.4758501601243736</v>
      </c>
      <c r="L16" s="107"/>
      <c r="M16" s="107"/>
      <c r="N16" s="107"/>
      <c r="O16" s="107">
        <v>4.0241994942166572</v>
      </c>
      <c r="P16" s="107">
        <v>3.9989635153077803</v>
      </c>
      <c r="Q16" s="107">
        <v>4.0754887740868373</v>
      </c>
      <c r="R16" s="107">
        <v>4.4508203602747631</v>
      </c>
      <c r="S16" s="107"/>
      <c r="T16" s="108">
        <v>4.0700493947560918</v>
      </c>
      <c r="U16" s="112">
        <v>3.8492289999999998</v>
      </c>
      <c r="V16" s="414"/>
      <c r="W16" s="422"/>
      <c r="X16" s="124">
        <v>0</v>
      </c>
      <c r="Y16" s="428"/>
      <c r="Z16" s="427"/>
    </row>
    <row r="17" spans="1:59" x14ac:dyDescent="0.2">
      <c r="A17" s="38" t="s">
        <v>6</v>
      </c>
      <c r="B17" s="45" t="s">
        <v>49</v>
      </c>
      <c r="C17" s="45" t="s">
        <v>52</v>
      </c>
      <c r="D17" s="102">
        <v>56</v>
      </c>
      <c r="E17" s="41">
        <v>30560</v>
      </c>
      <c r="F17" s="41">
        <v>3704</v>
      </c>
      <c r="G17" s="117">
        <v>16</v>
      </c>
      <c r="H17" s="426"/>
      <c r="I17" s="109"/>
      <c r="J17" s="110"/>
      <c r="K17" s="110">
        <v>2.3727750127641252</v>
      </c>
      <c r="L17" s="110"/>
      <c r="M17" s="110"/>
      <c r="N17" s="110"/>
      <c r="O17" s="110">
        <v>3.9103997277386999</v>
      </c>
      <c r="P17" s="110">
        <v>3.7830354926658702</v>
      </c>
      <c r="Q17" s="110">
        <v>3.1695503690188982</v>
      </c>
      <c r="R17" s="110">
        <v>4.4462426881598152</v>
      </c>
      <c r="S17" s="110"/>
      <c r="T17" s="111">
        <v>4.6519954689972094</v>
      </c>
      <c r="U17" s="112">
        <v>3.7223329999999999</v>
      </c>
      <c r="V17" s="415"/>
      <c r="W17" s="422"/>
      <c r="X17" s="124">
        <v>0</v>
      </c>
      <c r="Y17" s="428"/>
      <c r="Z17" s="427"/>
    </row>
    <row r="18" spans="1:59" x14ac:dyDescent="0.2">
      <c r="A18" s="32" t="s">
        <v>6</v>
      </c>
      <c r="B18" s="43" t="s">
        <v>16</v>
      </c>
      <c r="C18" s="43" t="s">
        <v>53</v>
      </c>
      <c r="D18" s="101">
        <v>64</v>
      </c>
      <c r="E18" s="35">
        <v>10640</v>
      </c>
      <c r="F18" s="35">
        <v>500</v>
      </c>
      <c r="G18" s="118">
        <v>2.5</v>
      </c>
      <c r="H18" s="424" t="s">
        <v>88</v>
      </c>
      <c r="I18" s="103"/>
      <c r="J18" s="104"/>
      <c r="K18" s="104">
        <v>3.2086482795736417</v>
      </c>
      <c r="L18" s="104"/>
      <c r="M18" s="104"/>
      <c r="N18" s="104"/>
      <c r="O18" s="104">
        <v>4.3788424628045499</v>
      </c>
      <c r="P18" s="104">
        <v>5.71903903958132</v>
      </c>
      <c r="Q18" s="104">
        <v>3.8665037014662493</v>
      </c>
      <c r="R18" s="104">
        <v>5.2056688073768145</v>
      </c>
      <c r="S18" s="104"/>
      <c r="T18" s="105">
        <v>5.3036572693296646</v>
      </c>
      <c r="U18" s="113">
        <v>4.6137269999999999</v>
      </c>
      <c r="V18" s="416">
        <v>4.2484149999999996</v>
      </c>
      <c r="W18" s="423">
        <v>4.0973350000000002</v>
      </c>
      <c r="X18" s="124">
        <f>(3/6)*100</f>
        <v>50</v>
      </c>
      <c r="Y18" s="428">
        <f>(4/18)*100</f>
        <v>22.222222222222221</v>
      </c>
      <c r="Z18" s="427">
        <f>(6/36)*100</f>
        <v>16.666666666666664</v>
      </c>
    </row>
    <row r="19" spans="1:59" x14ac:dyDescent="0.2">
      <c r="A19" s="37" t="s">
        <v>6</v>
      </c>
      <c r="B19" s="14" t="s">
        <v>16</v>
      </c>
      <c r="C19" s="14" t="s">
        <v>53</v>
      </c>
      <c r="D19" s="100">
        <v>64</v>
      </c>
      <c r="E19" s="12">
        <v>20640</v>
      </c>
      <c r="F19" s="12">
        <v>926</v>
      </c>
      <c r="G19" s="119">
        <v>9.5</v>
      </c>
      <c r="H19" s="425"/>
      <c r="I19" s="106"/>
      <c r="J19" s="107"/>
      <c r="K19" s="107">
        <v>3.0250222597558047</v>
      </c>
      <c r="L19" s="107"/>
      <c r="M19" s="107"/>
      <c r="N19" s="107"/>
      <c r="O19" s="107">
        <v>3.7941885442591579</v>
      </c>
      <c r="P19" s="107">
        <v>5.8495020368254202</v>
      </c>
      <c r="Q19" s="107">
        <v>4.5466687312719856</v>
      </c>
      <c r="R19" s="107">
        <v>4.8508553143853899</v>
      </c>
      <c r="S19" s="107"/>
      <c r="T19" s="108">
        <v>4.7543529358533947</v>
      </c>
      <c r="U19" s="113">
        <v>4.4700980000000001</v>
      </c>
      <c r="V19" s="417"/>
      <c r="W19" s="423"/>
      <c r="X19" s="124">
        <f>(1/6)*100</f>
        <v>16.666666666666664</v>
      </c>
      <c r="Y19" s="428"/>
      <c r="Z19" s="427"/>
    </row>
    <row r="20" spans="1:59" x14ac:dyDescent="0.2">
      <c r="A20" s="38" t="s">
        <v>6</v>
      </c>
      <c r="B20" s="45" t="s">
        <v>16</v>
      </c>
      <c r="C20" s="45" t="s">
        <v>53</v>
      </c>
      <c r="D20" s="102">
        <v>64</v>
      </c>
      <c r="E20" s="41">
        <v>30640</v>
      </c>
      <c r="F20" s="41">
        <v>3704</v>
      </c>
      <c r="G20" s="117">
        <v>19</v>
      </c>
      <c r="H20" s="425"/>
      <c r="I20" s="109"/>
      <c r="J20" s="110"/>
      <c r="K20" s="110">
        <v>3.3783843101254591</v>
      </c>
      <c r="L20" s="110"/>
      <c r="M20" s="110"/>
      <c r="N20" s="110"/>
      <c r="O20" s="110">
        <v>2.9934222254459182</v>
      </c>
      <c r="P20" s="110">
        <v>3.9097432314118397</v>
      </c>
      <c r="Q20" s="110">
        <v>3.3303230953676026</v>
      </c>
      <c r="R20" s="110">
        <v>4.3472831806554879</v>
      </c>
      <c r="S20" s="110"/>
      <c r="T20" s="111">
        <v>4.0093521627069046</v>
      </c>
      <c r="U20" s="112">
        <v>3.6614179999999998</v>
      </c>
      <c r="V20" s="418"/>
      <c r="W20" s="423"/>
      <c r="X20" s="124">
        <v>0</v>
      </c>
      <c r="Y20" s="428"/>
      <c r="Z20" s="427"/>
    </row>
    <row r="21" spans="1:59" x14ac:dyDescent="0.2">
      <c r="A21" s="32" t="s">
        <v>19</v>
      </c>
      <c r="B21" s="43" t="s">
        <v>20</v>
      </c>
      <c r="C21" s="43" t="s">
        <v>54</v>
      </c>
      <c r="D21" s="101">
        <v>72</v>
      </c>
      <c r="E21" s="35">
        <v>10720</v>
      </c>
      <c r="F21" s="35">
        <v>500</v>
      </c>
      <c r="G21" s="118">
        <v>2</v>
      </c>
      <c r="H21" s="425"/>
      <c r="I21" s="103"/>
      <c r="J21" s="104"/>
      <c r="K21" s="104">
        <v>2.515300173298844</v>
      </c>
      <c r="L21" s="104"/>
      <c r="M21" s="104"/>
      <c r="N21" s="104"/>
      <c r="O21" s="104">
        <v>3.5487071300503414</v>
      </c>
      <c r="P21" s="104">
        <v>4.5091520053783203</v>
      </c>
      <c r="Q21" s="104">
        <v>3.9471913974970363</v>
      </c>
      <c r="R21" s="104">
        <v>4.0650103306368335</v>
      </c>
      <c r="S21" s="104"/>
      <c r="T21" s="105">
        <v>5.2138685413371819</v>
      </c>
      <c r="U21" s="112">
        <v>3.9665379999999999</v>
      </c>
      <c r="V21" s="413">
        <v>3.946256</v>
      </c>
      <c r="W21" s="423"/>
      <c r="X21" s="124">
        <f>(1/6)*100</f>
        <v>16.666666666666664</v>
      </c>
      <c r="Y21" s="428">
        <f>(2/18)*100</f>
        <v>11.111111111111111</v>
      </c>
      <c r="Z21" s="427"/>
    </row>
    <row r="22" spans="1:59" x14ac:dyDescent="0.2">
      <c r="A22" s="37" t="s">
        <v>19</v>
      </c>
      <c r="B22" s="14" t="s">
        <v>20</v>
      </c>
      <c r="C22" s="14" t="s">
        <v>54</v>
      </c>
      <c r="D22" s="100">
        <v>72</v>
      </c>
      <c r="E22" s="12">
        <v>20720</v>
      </c>
      <c r="F22" s="12">
        <v>926</v>
      </c>
      <c r="G22" s="119">
        <v>3.5</v>
      </c>
      <c r="H22" s="425"/>
      <c r="I22" s="106"/>
      <c r="J22" s="107"/>
      <c r="K22" s="107">
        <v>2.8862553240661004</v>
      </c>
      <c r="L22" s="107"/>
      <c r="M22" s="107"/>
      <c r="N22" s="107"/>
      <c r="O22" s="107">
        <v>3.5940597755782084</v>
      </c>
      <c r="P22" s="107">
        <v>4.8877344323153356</v>
      </c>
      <c r="Q22" s="107">
        <v>3.4582327884200743</v>
      </c>
      <c r="R22" s="107">
        <v>3.6317919288106904</v>
      </c>
      <c r="S22" s="107"/>
      <c r="T22" s="108">
        <v>5.7259969523323688</v>
      </c>
      <c r="U22" s="113">
        <v>4.0306790000000001</v>
      </c>
      <c r="V22" s="414"/>
      <c r="W22" s="423"/>
      <c r="X22" s="124">
        <f>(1/6)*100</f>
        <v>16.666666666666664</v>
      </c>
      <c r="Y22" s="428"/>
      <c r="Z22" s="427"/>
    </row>
    <row r="23" spans="1:59" x14ac:dyDescent="0.2">
      <c r="A23" s="38" t="s">
        <v>19</v>
      </c>
      <c r="B23" s="45" t="s">
        <v>20</v>
      </c>
      <c r="C23" s="45" t="s">
        <v>54</v>
      </c>
      <c r="D23" s="102">
        <v>72</v>
      </c>
      <c r="E23" s="41">
        <v>30720</v>
      </c>
      <c r="F23" s="41">
        <v>3704</v>
      </c>
      <c r="G23" s="117">
        <v>13.5</v>
      </c>
      <c r="H23" s="426"/>
      <c r="I23" s="109"/>
      <c r="J23" s="110"/>
      <c r="K23" s="110">
        <v>3.2507398050815648</v>
      </c>
      <c r="L23" s="110"/>
      <c r="M23" s="110"/>
      <c r="N23" s="110"/>
      <c r="O23" s="110">
        <v>4.1270528877505033</v>
      </c>
      <c r="P23" s="110">
        <v>4.468707039513057</v>
      </c>
      <c r="Q23" s="110">
        <v>3.4916404123078721</v>
      </c>
      <c r="R23" s="110">
        <v>2.9167870559169242</v>
      </c>
      <c r="S23" s="110"/>
      <c r="T23" s="111">
        <v>4.7943831815577367</v>
      </c>
      <c r="U23" s="112">
        <v>3.8415520000000001</v>
      </c>
      <c r="V23" s="415"/>
      <c r="W23" s="423"/>
      <c r="X23" s="124">
        <v>0</v>
      </c>
      <c r="Y23" s="428"/>
      <c r="Z23" s="427"/>
    </row>
    <row r="24" spans="1:59" x14ac:dyDescent="0.2">
      <c r="A24" s="32" t="s">
        <v>19</v>
      </c>
      <c r="B24" s="33" t="s">
        <v>24</v>
      </c>
      <c r="C24" s="33" t="s">
        <v>25</v>
      </c>
      <c r="D24" s="101">
        <v>601</v>
      </c>
      <c r="E24" s="34">
        <v>16010</v>
      </c>
      <c r="F24" s="35">
        <v>500</v>
      </c>
      <c r="G24" s="118">
        <v>5</v>
      </c>
      <c r="H24" s="424" t="s">
        <v>84</v>
      </c>
      <c r="I24" s="103"/>
      <c r="J24" s="104"/>
      <c r="K24" s="104">
        <v>4.5844087654065904</v>
      </c>
      <c r="L24" s="104"/>
      <c r="M24" s="104"/>
      <c r="N24" s="104"/>
      <c r="O24" s="104">
        <v>4.6964356537339045</v>
      </c>
      <c r="P24" s="104">
        <v>4.921560199565719</v>
      </c>
      <c r="Q24" s="104">
        <v>4.2074302572584017</v>
      </c>
      <c r="R24" s="104">
        <v>4.5320517770905591</v>
      </c>
      <c r="S24" s="104"/>
      <c r="T24" s="105">
        <v>5.1256190250790068</v>
      </c>
      <c r="U24" s="113">
        <v>4.6779169999999999</v>
      </c>
      <c r="V24" s="416">
        <v>4.6319239999999997</v>
      </c>
      <c r="W24" s="356">
        <v>5.137759</v>
      </c>
      <c r="X24" s="124">
        <f>(1/6)*100</f>
        <v>16.666666666666664</v>
      </c>
      <c r="Y24" s="428">
        <f>(5/18)*100</f>
        <v>27.777777777777779</v>
      </c>
      <c r="Z24" s="427">
        <f>(17/32)*100</f>
        <v>53.125</v>
      </c>
    </row>
    <row r="25" spans="1:59" x14ac:dyDescent="0.2">
      <c r="A25" s="37" t="s">
        <v>19</v>
      </c>
      <c r="B25" s="15" t="s">
        <v>24</v>
      </c>
      <c r="C25" s="15" t="s">
        <v>25</v>
      </c>
      <c r="D25" s="100">
        <v>601</v>
      </c>
      <c r="E25" s="11">
        <v>26010</v>
      </c>
      <c r="F25" s="12">
        <v>926</v>
      </c>
      <c r="G25" s="119">
        <v>16</v>
      </c>
      <c r="H25" s="425"/>
      <c r="I25" s="106"/>
      <c r="J25" s="107"/>
      <c r="K25" s="107">
        <v>6.130291469146643</v>
      </c>
      <c r="L25" s="107"/>
      <c r="M25" s="107"/>
      <c r="N25" s="107"/>
      <c r="O25" s="107">
        <v>4.6521128654031347</v>
      </c>
      <c r="P25" s="107">
        <v>5.1615521030946017</v>
      </c>
      <c r="Q25" s="107">
        <v>3.6535350905625341</v>
      </c>
      <c r="R25" s="107">
        <v>3.7132394193119898</v>
      </c>
      <c r="S25" s="107"/>
      <c r="T25" s="108">
        <v>4.8051560209206814</v>
      </c>
      <c r="U25" s="113">
        <v>4.685981</v>
      </c>
      <c r="V25" s="417"/>
      <c r="W25" s="356"/>
      <c r="X25" s="124">
        <f>(2/6)*100</f>
        <v>33.333333333333329</v>
      </c>
      <c r="Y25" s="428"/>
      <c r="Z25" s="427"/>
    </row>
    <row r="26" spans="1:59" x14ac:dyDescent="0.2">
      <c r="A26" s="38" t="s">
        <v>19</v>
      </c>
      <c r="B26" s="39" t="s">
        <v>24</v>
      </c>
      <c r="C26" s="39" t="s">
        <v>25</v>
      </c>
      <c r="D26" s="102">
        <v>601</v>
      </c>
      <c r="E26" s="40">
        <v>36010</v>
      </c>
      <c r="F26" s="41">
        <v>3704</v>
      </c>
      <c r="G26" s="117">
        <v>27</v>
      </c>
      <c r="H26" s="425"/>
      <c r="I26" s="109"/>
      <c r="J26" s="110"/>
      <c r="K26" s="110">
        <v>6.1480218646506826</v>
      </c>
      <c r="L26" s="110"/>
      <c r="M26" s="110"/>
      <c r="N26" s="110"/>
      <c r="O26" s="110">
        <v>3.9287732517244445</v>
      </c>
      <c r="P26" s="110">
        <v>4.4596695413436818</v>
      </c>
      <c r="Q26" s="110">
        <v>3.5725797745047805</v>
      </c>
      <c r="R26" s="110">
        <v>4.0151080611575933</v>
      </c>
      <c r="S26" s="110"/>
      <c r="T26" s="111">
        <v>5.0670855710095672</v>
      </c>
      <c r="U26" s="113">
        <v>4.531873</v>
      </c>
      <c r="V26" s="418"/>
      <c r="W26" s="356"/>
      <c r="X26" s="124">
        <f>(2/6)*100</f>
        <v>33.333333333333329</v>
      </c>
      <c r="Y26" s="428"/>
      <c r="Z26" s="427"/>
    </row>
    <row r="27" spans="1:59" s="55" customFormat="1" x14ac:dyDescent="0.2">
      <c r="A27" s="120" t="s">
        <v>19</v>
      </c>
      <c r="B27" s="33" t="s">
        <v>24</v>
      </c>
      <c r="C27" s="33" t="s">
        <v>78</v>
      </c>
      <c r="D27" s="101">
        <v>82</v>
      </c>
      <c r="E27" s="35">
        <v>10820</v>
      </c>
      <c r="F27" s="35">
        <v>500</v>
      </c>
      <c r="G27" s="118">
        <v>5</v>
      </c>
      <c r="H27" s="425"/>
      <c r="I27" s="103"/>
      <c r="J27" s="104"/>
      <c r="K27" s="104">
        <v>7.0960117276306844</v>
      </c>
      <c r="L27" s="104"/>
      <c r="M27" s="104"/>
      <c r="N27" s="104"/>
      <c r="O27" s="104">
        <v>5.4531644726674893</v>
      </c>
      <c r="P27" s="104" t="s">
        <v>73</v>
      </c>
      <c r="Q27" s="104">
        <v>5.3080722236050413</v>
      </c>
      <c r="R27" s="104">
        <v>6.1718394493224586</v>
      </c>
      <c r="S27" s="104"/>
      <c r="T27" s="105">
        <v>5.406317026212716</v>
      </c>
      <c r="U27" s="114">
        <v>5.8870810000000002</v>
      </c>
      <c r="V27" s="419">
        <v>5.7881179999999999</v>
      </c>
      <c r="W27" s="356"/>
      <c r="X27" s="124">
        <f>(5/5)*100</f>
        <v>100</v>
      </c>
      <c r="Y27" s="428">
        <f>(12/14)*100</f>
        <v>85.714285714285708</v>
      </c>
      <c r="Z27" s="427"/>
      <c r="AA27"/>
      <c r="AB27"/>
      <c r="AC27"/>
      <c r="AD27"/>
      <c r="AE27"/>
      <c r="AF27"/>
      <c r="AG27"/>
      <c r="AH27"/>
      <c r="AI27"/>
      <c r="AJ27"/>
      <c r="AK27"/>
      <c r="AL27"/>
      <c r="AM27"/>
      <c r="AN27"/>
      <c r="AO27"/>
      <c r="AP27"/>
      <c r="AQ27"/>
      <c r="AR27"/>
      <c r="AS27"/>
      <c r="AT27"/>
      <c r="AU27"/>
      <c r="AV27"/>
      <c r="AW27"/>
      <c r="AX27"/>
      <c r="AY27"/>
      <c r="AZ27"/>
      <c r="BA27"/>
      <c r="BB27"/>
      <c r="BC27"/>
      <c r="BD27"/>
      <c r="BE27"/>
      <c r="BF27"/>
      <c r="BG27"/>
    </row>
    <row r="28" spans="1:59" s="55" customFormat="1" x14ac:dyDescent="0.2">
      <c r="A28" s="121" t="s">
        <v>19</v>
      </c>
      <c r="B28" s="15" t="s">
        <v>24</v>
      </c>
      <c r="C28" s="15" t="s">
        <v>78</v>
      </c>
      <c r="D28" s="100">
        <v>82</v>
      </c>
      <c r="E28" s="12">
        <v>20820</v>
      </c>
      <c r="F28" s="12">
        <v>926</v>
      </c>
      <c r="G28" s="119">
        <v>7</v>
      </c>
      <c r="H28" s="425"/>
      <c r="I28" s="106"/>
      <c r="J28" s="107"/>
      <c r="K28" s="107">
        <v>6.8196116948145731</v>
      </c>
      <c r="L28" s="107"/>
      <c r="M28" s="107"/>
      <c r="N28" s="107"/>
      <c r="O28" s="107">
        <v>5.3699556534009032</v>
      </c>
      <c r="P28" s="107" t="s">
        <v>73</v>
      </c>
      <c r="Q28" s="107">
        <v>6.5468676015486986</v>
      </c>
      <c r="R28" s="107">
        <v>5.1946213715072025</v>
      </c>
      <c r="S28" s="107"/>
      <c r="T28" s="108">
        <v>5.12373947714475</v>
      </c>
      <c r="U28" s="114">
        <v>5.8109590000000004</v>
      </c>
      <c r="V28" s="420"/>
      <c r="W28" s="356"/>
      <c r="X28" s="124">
        <f>(5/5)*100</f>
        <v>100</v>
      </c>
      <c r="Y28" s="428"/>
      <c r="Z28" s="427"/>
      <c r="AA28"/>
      <c r="AB28"/>
      <c r="AC28"/>
      <c r="AD28"/>
      <c r="AE28"/>
      <c r="AF28"/>
      <c r="AG28"/>
      <c r="AH28"/>
      <c r="AI28"/>
      <c r="AJ28"/>
      <c r="AK28"/>
      <c r="AL28"/>
      <c r="AM28"/>
      <c r="AN28"/>
      <c r="AO28"/>
      <c r="AP28"/>
      <c r="AQ28"/>
      <c r="AR28"/>
      <c r="AS28"/>
      <c r="AT28"/>
      <c r="AU28"/>
      <c r="AV28"/>
      <c r="AW28"/>
      <c r="AX28"/>
      <c r="AY28"/>
      <c r="AZ28"/>
      <c r="BA28"/>
      <c r="BB28"/>
      <c r="BC28"/>
      <c r="BD28"/>
      <c r="BE28"/>
      <c r="BF28"/>
      <c r="BG28"/>
    </row>
    <row r="29" spans="1:59" s="55" customFormat="1" x14ac:dyDescent="0.2">
      <c r="A29" s="122" t="s">
        <v>19</v>
      </c>
      <c r="B29" s="39" t="s">
        <v>24</v>
      </c>
      <c r="C29" s="39" t="s">
        <v>78</v>
      </c>
      <c r="D29" s="102">
        <v>82</v>
      </c>
      <c r="E29" s="41">
        <v>30820</v>
      </c>
      <c r="F29" s="41">
        <v>3704</v>
      </c>
      <c r="G29" s="117">
        <v>15</v>
      </c>
      <c r="H29" s="426"/>
      <c r="I29" s="109"/>
      <c r="J29" s="110"/>
      <c r="K29" s="110">
        <v>6.307136621863874</v>
      </c>
      <c r="L29" s="110"/>
      <c r="M29" s="110"/>
      <c r="N29" s="110"/>
      <c r="O29" s="110">
        <v>4.9423817419877771</v>
      </c>
      <c r="P29" s="110" t="s">
        <v>73</v>
      </c>
      <c r="Q29" s="110">
        <v>6.3255014255397093</v>
      </c>
      <c r="R29" s="110">
        <v>4.9684336159699498</v>
      </c>
      <c r="S29" s="110"/>
      <c r="T29" s="111" t="s">
        <v>73</v>
      </c>
      <c r="U29" s="114">
        <v>5.6358629999999996</v>
      </c>
      <c r="V29" s="421"/>
      <c r="W29" s="356"/>
      <c r="X29" s="124">
        <f>(2/4)*100</f>
        <v>50</v>
      </c>
      <c r="Y29" s="428"/>
      <c r="Z29" s="427"/>
      <c r="AA29"/>
      <c r="AB29"/>
      <c r="AC29"/>
      <c r="AD29"/>
      <c r="AE29"/>
      <c r="AF29"/>
      <c r="AG29"/>
      <c r="AH29"/>
      <c r="AI29"/>
      <c r="AJ29"/>
      <c r="AK29"/>
      <c r="AL29"/>
      <c r="AM29"/>
      <c r="AN29"/>
      <c r="AO29"/>
      <c r="AP29"/>
      <c r="AQ29"/>
      <c r="AR29"/>
      <c r="AS29"/>
      <c r="AT29"/>
      <c r="AU29"/>
      <c r="AV29"/>
      <c r="AW29"/>
      <c r="AX29"/>
      <c r="AY29"/>
      <c r="AZ29"/>
      <c r="BA29"/>
      <c r="BB29"/>
      <c r="BC29"/>
      <c r="BD29"/>
      <c r="BE29"/>
      <c r="BF29"/>
      <c r="BG29"/>
    </row>
    <row r="30" spans="1:59" x14ac:dyDescent="0.2">
      <c r="A30" s="57"/>
      <c r="B30" s="57"/>
      <c r="C30" s="57"/>
      <c r="E30" s="57"/>
      <c r="F30" s="57"/>
      <c r="G30" s="57"/>
      <c r="H30" s="57"/>
    </row>
    <row r="33" spans="2:4" x14ac:dyDescent="0.2">
      <c r="B33" s="5"/>
      <c r="D33" s="100"/>
    </row>
    <row r="34" spans="2:4" x14ac:dyDescent="0.2">
      <c r="B34" s="5"/>
      <c r="D34" s="100"/>
    </row>
    <row r="35" spans="2:4" x14ac:dyDescent="0.2">
      <c r="B35" s="5"/>
      <c r="D35" s="100"/>
    </row>
    <row r="36" spans="2:4" x14ac:dyDescent="0.2">
      <c r="B36" s="5"/>
      <c r="D36" s="100"/>
    </row>
    <row r="37" spans="2:4" x14ac:dyDescent="0.2">
      <c r="B37" s="5"/>
      <c r="D37" s="100"/>
    </row>
    <row r="38" spans="2:4" x14ac:dyDescent="0.2">
      <c r="B38" s="5"/>
      <c r="D38" s="100"/>
    </row>
  </sheetData>
  <mergeCells count="32">
    <mergeCell ref="H24:H29"/>
    <mergeCell ref="V24:V26"/>
    <mergeCell ref="W24:W29"/>
    <mergeCell ref="V27:V29"/>
    <mergeCell ref="Y27:Y29"/>
    <mergeCell ref="Z24:Z29"/>
    <mergeCell ref="U1:W1"/>
    <mergeCell ref="X1:Z1"/>
    <mergeCell ref="V9:V11"/>
    <mergeCell ref="V15:V17"/>
    <mergeCell ref="Y3:Y5"/>
    <mergeCell ref="Y15:Y17"/>
    <mergeCell ref="V21:V23"/>
    <mergeCell ref="Y18:Y20"/>
    <mergeCell ref="Y24:Y26"/>
    <mergeCell ref="V3:V5"/>
    <mergeCell ref="W3:W11"/>
    <mergeCell ref="V6:V8"/>
    <mergeCell ref="Y9:Y11"/>
    <mergeCell ref="Y12:Y14"/>
    <mergeCell ref="Y21:Y23"/>
    <mergeCell ref="W12:W17"/>
    <mergeCell ref="H3:H11"/>
    <mergeCell ref="H18:H23"/>
    <mergeCell ref="Z3:Z11"/>
    <mergeCell ref="Z12:Z17"/>
    <mergeCell ref="Z18:Z23"/>
    <mergeCell ref="V12:V14"/>
    <mergeCell ref="H12:H17"/>
    <mergeCell ref="V18:V20"/>
    <mergeCell ref="W18:W23"/>
    <mergeCell ref="Y6:Y8"/>
  </mergeCells>
  <phoneticPr fontId="16"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38"/>
  <sheetViews>
    <sheetView topLeftCell="C1" zoomScale="70" zoomScaleNormal="70" workbookViewId="0">
      <selection activeCell="I9" sqref="I9"/>
    </sheetView>
  </sheetViews>
  <sheetFormatPr defaultRowHeight="12.75" x14ac:dyDescent="0.2"/>
  <cols>
    <col min="1" max="1" width="5.7109375" style="12" customWidth="1"/>
    <col min="2" max="2" width="22.85546875" style="15" bestFit="1" customWidth="1"/>
    <col min="3" max="3" width="38" style="15" bestFit="1" customWidth="1"/>
    <col min="4" max="4" width="10.42578125" style="15" customWidth="1"/>
    <col min="5" max="5" width="9.7109375" style="12" bestFit="1" customWidth="1"/>
    <col min="6" max="6" width="11" style="15" customWidth="1"/>
    <col min="7" max="7" width="10.5703125" style="15" customWidth="1"/>
    <col min="8" max="8" width="17.5703125" style="15" bestFit="1" customWidth="1"/>
    <col min="14" max="14" width="11" customWidth="1"/>
    <col min="15" max="15" width="10.85546875" customWidth="1"/>
    <col min="16" max="17" width="11.28515625" customWidth="1"/>
    <col min="18" max="18" width="12.28515625" customWidth="1"/>
    <col min="19" max="19" width="13.85546875" style="171" customWidth="1"/>
    <col min="20" max="21" width="13" customWidth="1"/>
    <col min="22" max="22" width="14.7109375" customWidth="1"/>
  </cols>
  <sheetData>
    <row r="1" spans="1:22" x14ac:dyDescent="0.2">
      <c r="P1" s="371" t="s">
        <v>90</v>
      </c>
      <c r="Q1" s="371"/>
      <c r="R1" s="371"/>
      <c r="S1" s="170"/>
      <c r="T1" s="371" t="s">
        <v>94</v>
      </c>
      <c r="U1" s="371"/>
      <c r="V1" s="371"/>
    </row>
    <row r="2" spans="1:22" ht="51" x14ac:dyDescent="0.2">
      <c r="A2" s="74" t="s">
        <v>0</v>
      </c>
      <c r="B2" s="75" t="s">
        <v>1</v>
      </c>
      <c r="C2" s="74" t="s">
        <v>2</v>
      </c>
      <c r="D2" s="25" t="s">
        <v>89</v>
      </c>
      <c r="E2" s="74" t="s">
        <v>81</v>
      </c>
      <c r="F2" s="74" t="s">
        <v>4</v>
      </c>
      <c r="G2" s="74" t="s">
        <v>5</v>
      </c>
      <c r="H2" s="1" t="s">
        <v>85</v>
      </c>
      <c r="I2" s="25" t="s">
        <v>30</v>
      </c>
      <c r="J2" s="25" t="s">
        <v>31</v>
      </c>
      <c r="K2" s="25" t="s">
        <v>77</v>
      </c>
      <c r="L2" s="25" t="s">
        <v>76</v>
      </c>
      <c r="M2" s="25" t="s">
        <v>75</v>
      </c>
      <c r="N2" s="25" t="s">
        <v>74</v>
      </c>
      <c r="O2" s="25" t="s">
        <v>44</v>
      </c>
      <c r="P2" s="25" t="s">
        <v>71</v>
      </c>
      <c r="Q2" s="26" t="s">
        <v>72</v>
      </c>
      <c r="R2" s="26" t="s">
        <v>80</v>
      </c>
      <c r="S2" s="26" t="s">
        <v>107</v>
      </c>
      <c r="T2" s="146" t="s">
        <v>91</v>
      </c>
      <c r="U2" s="146" t="s">
        <v>92</v>
      </c>
      <c r="V2" s="146" t="s">
        <v>93</v>
      </c>
    </row>
    <row r="3" spans="1:22" x14ac:dyDescent="0.2">
      <c r="A3" s="32" t="s">
        <v>6</v>
      </c>
      <c r="B3" s="50" t="s">
        <v>9</v>
      </c>
      <c r="C3" s="50" t="s">
        <v>46</v>
      </c>
      <c r="D3" s="101">
        <v>8</v>
      </c>
      <c r="E3" s="47">
        <v>10080</v>
      </c>
      <c r="F3" s="35">
        <v>500</v>
      </c>
      <c r="G3" s="115">
        <v>2</v>
      </c>
      <c r="H3" s="424" t="s">
        <v>82</v>
      </c>
      <c r="I3" s="64">
        <v>4.9359482626031088</v>
      </c>
      <c r="J3" s="27">
        <v>3.9744931458177701</v>
      </c>
      <c r="K3" s="27">
        <v>2.5298443253911813</v>
      </c>
      <c r="L3" s="27">
        <v>3.8069028778319325</v>
      </c>
      <c r="M3" s="27" t="s">
        <v>73</v>
      </c>
      <c r="N3" s="27">
        <v>4.3193224450582068</v>
      </c>
      <c r="O3" s="65" t="s">
        <v>73</v>
      </c>
      <c r="P3" s="163">
        <v>3.9133022113404401</v>
      </c>
      <c r="Q3" s="437">
        <v>3.8531472395205335</v>
      </c>
      <c r="R3" s="422">
        <v>3.9968531895314978</v>
      </c>
      <c r="S3" s="359">
        <v>5</v>
      </c>
      <c r="T3" s="124">
        <f>(0/5)*100</f>
        <v>0</v>
      </c>
      <c r="U3" s="432">
        <f>(0/15)*100</f>
        <v>0</v>
      </c>
      <c r="V3" s="429">
        <f>(5/48)*100</f>
        <v>10.416666666666668</v>
      </c>
    </row>
    <row r="4" spans="1:22" x14ac:dyDescent="0.2">
      <c r="A4" s="37" t="s">
        <v>6</v>
      </c>
      <c r="B4" s="4" t="s">
        <v>9</v>
      </c>
      <c r="C4" s="4" t="s">
        <v>46</v>
      </c>
      <c r="D4" s="100">
        <v>8</v>
      </c>
      <c r="E4" s="7">
        <v>20080</v>
      </c>
      <c r="F4" s="12">
        <v>926</v>
      </c>
      <c r="G4" s="116">
        <v>4.5</v>
      </c>
      <c r="H4" s="425"/>
      <c r="I4" s="66">
        <v>4.0427318706820161</v>
      </c>
      <c r="J4" s="28">
        <v>3.9530289222426802</v>
      </c>
      <c r="K4" s="28">
        <v>3.0349260499849158</v>
      </c>
      <c r="L4" s="28">
        <v>3.53821783151789</v>
      </c>
      <c r="M4" s="28" t="s">
        <v>73</v>
      </c>
      <c r="N4" s="28">
        <v>4.3276033196176114</v>
      </c>
      <c r="O4" s="67" t="s">
        <v>73</v>
      </c>
      <c r="P4" s="163">
        <v>3.7793015988090226</v>
      </c>
      <c r="Q4" s="437"/>
      <c r="R4" s="422"/>
      <c r="S4" s="360"/>
      <c r="T4" s="124">
        <f>(0/5)*100</f>
        <v>0</v>
      </c>
      <c r="U4" s="433"/>
      <c r="V4" s="430"/>
    </row>
    <row r="5" spans="1:22" x14ac:dyDescent="0.2">
      <c r="A5" s="38" t="s">
        <v>6</v>
      </c>
      <c r="B5" s="52" t="s">
        <v>9</v>
      </c>
      <c r="C5" s="52" t="s">
        <v>46</v>
      </c>
      <c r="D5" s="102">
        <v>8</v>
      </c>
      <c r="E5" s="48">
        <v>30080</v>
      </c>
      <c r="F5" s="41">
        <v>3704</v>
      </c>
      <c r="G5" s="117">
        <v>13</v>
      </c>
      <c r="H5" s="425"/>
      <c r="I5" s="68">
        <v>3.6172305864287102</v>
      </c>
      <c r="J5" s="29">
        <v>3.9296948856640075</v>
      </c>
      <c r="K5" s="29">
        <v>3.7679607082316986</v>
      </c>
      <c r="L5" s="29">
        <v>3.6509459480690496</v>
      </c>
      <c r="M5" s="29" t="s">
        <v>73</v>
      </c>
      <c r="N5" s="29">
        <v>4.3683574136672298</v>
      </c>
      <c r="O5" s="69" t="s">
        <v>73</v>
      </c>
      <c r="P5" s="163">
        <v>3.8668379084121391</v>
      </c>
      <c r="Q5" s="437"/>
      <c r="R5" s="422"/>
      <c r="S5" s="360"/>
      <c r="T5" s="124">
        <f>(0/5)*100</f>
        <v>0</v>
      </c>
      <c r="U5" s="434"/>
      <c r="V5" s="430"/>
    </row>
    <row r="6" spans="1:22" x14ac:dyDescent="0.2">
      <c r="A6" s="32" t="s">
        <v>6</v>
      </c>
      <c r="B6" s="50" t="s">
        <v>12</v>
      </c>
      <c r="C6" s="50" t="s">
        <v>47</v>
      </c>
      <c r="D6" s="101">
        <v>24</v>
      </c>
      <c r="E6" s="47">
        <v>10240</v>
      </c>
      <c r="F6" s="35">
        <v>500</v>
      </c>
      <c r="G6" s="118">
        <v>2.5</v>
      </c>
      <c r="H6" s="425"/>
      <c r="I6" s="64">
        <v>4.6013196270969932</v>
      </c>
      <c r="J6" s="27">
        <v>4.1924868413082041</v>
      </c>
      <c r="K6" s="27">
        <v>2.4653083453874722</v>
      </c>
      <c r="L6" s="27">
        <v>3.0328162911587553</v>
      </c>
      <c r="M6" s="27" t="s">
        <v>73</v>
      </c>
      <c r="N6" s="27">
        <v>4.5060059629330365</v>
      </c>
      <c r="O6" s="65" t="s">
        <v>73</v>
      </c>
      <c r="P6" s="163">
        <v>3.7595874135768925</v>
      </c>
      <c r="Q6" s="437">
        <v>3.8276891713578527</v>
      </c>
      <c r="R6" s="422"/>
      <c r="S6" s="360"/>
      <c r="T6" s="124">
        <f>(0/5)*100</f>
        <v>0</v>
      </c>
      <c r="U6" s="432">
        <f>(1/15)*100</f>
        <v>6.666666666666667</v>
      </c>
      <c r="V6" s="430"/>
    </row>
    <row r="7" spans="1:22" x14ac:dyDescent="0.2">
      <c r="A7" s="37" t="s">
        <v>6</v>
      </c>
      <c r="B7" s="4" t="s">
        <v>12</v>
      </c>
      <c r="C7" s="4" t="s">
        <v>47</v>
      </c>
      <c r="D7" s="100">
        <v>24</v>
      </c>
      <c r="E7" s="7">
        <v>20240</v>
      </c>
      <c r="F7" s="12">
        <v>926</v>
      </c>
      <c r="G7" s="119">
        <v>6.5</v>
      </c>
      <c r="H7" s="425"/>
      <c r="I7" s="66">
        <v>5.1694636864007188</v>
      </c>
      <c r="J7" s="28">
        <v>4.2874423041391596</v>
      </c>
      <c r="K7" s="28">
        <v>1.2872307713453648</v>
      </c>
      <c r="L7" s="28">
        <v>3.9486752470478255</v>
      </c>
      <c r="M7" s="28" t="s">
        <v>73</v>
      </c>
      <c r="N7" s="28">
        <v>4.7091082612418695</v>
      </c>
      <c r="O7" s="67" t="s">
        <v>73</v>
      </c>
      <c r="P7" s="163">
        <v>3.8803840540349883</v>
      </c>
      <c r="Q7" s="437"/>
      <c r="R7" s="422"/>
      <c r="S7" s="360"/>
      <c r="T7" s="124">
        <f>(1/5)*100</f>
        <v>20</v>
      </c>
      <c r="U7" s="433"/>
      <c r="V7" s="430"/>
    </row>
    <row r="8" spans="1:22" x14ac:dyDescent="0.2">
      <c r="A8" s="38" t="s">
        <v>6</v>
      </c>
      <c r="B8" s="52" t="s">
        <v>12</v>
      </c>
      <c r="C8" s="52" t="s">
        <v>47</v>
      </c>
      <c r="D8" s="102">
        <v>24</v>
      </c>
      <c r="E8" s="48">
        <v>30240</v>
      </c>
      <c r="F8" s="41">
        <v>3704</v>
      </c>
      <c r="G8" s="117">
        <v>15</v>
      </c>
      <c r="H8" s="425"/>
      <c r="I8" s="68">
        <v>4.1369148445283583</v>
      </c>
      <c r="J8" s="29">
        <v>4.1145990022792702</v>
      </c>
      <c r="K8" s="29">
        <v>1.7953902839633622</v>
      </c>
      <c r="L8" s="29">
        <v>4.4283460034509385</v>
      </c>
      <c r="M8" s="29" t="s">
        <v>73</v>
      </c>
      <c r="N8" s="29">
        <v>4.7402300980864549</v>
      </c>
      <c r="O8" s="69" t="s">
        <v>73</v>
      </c>
      <c r="P8" s="163">
        <v>3.8430960464616772</v>
      </c>
      <c r="Q8" s="437"/>
      <c r="R8" s="422"/>
      <c r="S8" s="360"/>
      <c r="T8" s="124">
        <f>(0/5)*100</f>
        <v>0</v>
      </c>
      <c r="U8" s="434"/>
      <c r="V8" s="430"/>
    </row>
    <row r="9" spans="1:22" x14ac:dyDescent="0.2">
      <c r="A9" s="32" t="s">
        <v>6</v>
      </c>
      <c r="B9" s="49" t="s">
        <v>13</v>
      </c>
      <c r="C9" s="50" t="s">
        <v>48</v>
      </c>
      <c r="D9" s="101">
        <v>40</v>
      </c>
      <c r="E9" s="47">
        <v>10400</v>
      </c>
      <c r="F9" s="35">
        <v>500</v>
      </c>
      <c r="G9" s="118">
        <v>3</v>
      </c>
      <c r="H9" s="425"/>
      <c r="I9" s="64">
        <v>5.4740464726726392</v>
      </c>
      <c r="J9" s="27">
        <v>3.8803108935785691</v>
      </c>
      <c r="K9" s="27">
        <v>2.4793534366559209</v>
      </c>
      <c r="L9" s="27">
        <v>3.8929074498604561</v>
      </c>
      <c r="M9" s="27">
        <v>4.6832381760719217</v>
      </c>
      <c r="N9" s="27">
        <v>4.5069375073953557</v>
      </c>
      <c r="O9" s="65" t="s">
        <v>73</v>
      </c>
      <c r="P9" s="165">
        <v>4.152798989372477</v>
      </c>
      <c r="Q9" s="435">
        <v>4.2575781630186711</v>
      </c>
      <c r="R9" s="422"/>
      <c r="S9" s="360"/>
      <c r="T9" s="124">
        <f>(1/6)*100</f>
        <v>16.666666666666664</v>
      </c>
      <c r="U9" s="432">
        <f>(4/18)*100</f>
        <v>22.222222222222221</v>
      </c>
      <c r="V9" s="430"/>
    </row>
    <row r="10" spans="1:22" x14ac:dyDescent="0.2">
      <c r="A10" s="37" t="s">
        <v>6</v>
      </c>
      <c r="B10" s="6" t="s">
        <v>13</v>
      </c>
      <c r="C10" s="4" t="s">
        <v>48</v>
      </c>
      <c r="D10" s="100">
        <v>40</v>
      </c>
      <c r="E10" s="7">
        <v>20400</v>
      </c>
      <c r="F10" s="12">
        <v>926</v>
      </c>
      <c r="G10" s="119">
        <v>6.5</v>
      </c>
      <c r="H10" s="425"/>
      <c r="I10" s="66">
        <v>6.0487662359492447</v>
      </c>
      <c r="J10" s="28">
        <v>4.4051268239562686</v>
      </c>
      <c r="K10" s="28">
        <v>3.4870474656739399</v>
      </c>
      <c r="L10" s="28">
        <v>4.3239702414313053</v>
      </c>
      <c r="M10" s="28">
        <v>4.2515983895794935</v>
      </c>
      <c r="N10" s="28">
        <v>5.1238160981187333</v>
      </c>
      <c r="O10" s="67" t="s">
        <v>73</v>
      </c>
      <c r="P10" s="165">
        <v>4.6067208757848315</v>
      </c>
      <c r="Q10" s="435"/>
      <c r="R10" s="422"/>
      <c r="S10" s="360"/>
      <c r="T10" s="124">
        <f>(2/6)*100</f>
        <v>33.333333333333329</v>
      </c>
      <c r="U10" s="433"/>
      <c r="V10" s="430"/>
    </row>
    <row r="11" spans="1:22" x14ac:dyDescent="0.2">
      <c r="A11" s="38" t="s">
        <v>6</v>
      </c>
      <c r="B11" s="51" t="s">
        <v>13</v>
      </c>
      <c r="C11" s="52" t="s">
        <v>48</v>
      </c>
      <c r="D11" s="102">
        <v>40</v>
      </c>
      <c r="E11" s="48">
        <v>30400</v>
      </c>
      <c r="F11" s="41">
        <v>3704</v>
      </c>
      <c r="G11" s="117">
        <v>15</v>
      </c>
      <c r="H11" s="426"/>
      <c r="I11" s="68">
        <v>5.1720061997416469</v>
      </c>
      <c r="J11" s="29">
        <v>3.9848020822677732</v>
      </c>
      <c r="K11" s="29">
        <v>3.3097660182912345</v>
      </c>
      <c r="L11" s="29">
        <v>4.0819392677985862</v>
      </c>
      <c r="M11" s="29">
        <v>3.1654842004142432</v>
      </c>
      <c r="N11" s="29">
        <v>4.3652899748787624</v>
      </c>
      <c r="O11" s="69" t="s">
        <v>73</v>
      </c>
      <c r="P11" s="165">
        <v>4.0132146238987083</v>
      </c>
      <c r="Q11" s="435"/>
      <c r="R11" s="422"/>
      <c r="S11" s="361"/>
      <c r="T11" s="124">
        <f>(1/6)*100</f>
        <v>16.666666666666664</v>
      </c>
      <c r="U11" s="434"/>
      <c r="V11" s="431"/>
    </row>
    <row r="12" spans="1:22" x14ac:dyDescent="0.2">
      <c r="A12" s="32" t="s">
        <v>6</v>
      </c>
      <c r="B12" s="43" t="s">
        <v>50</v>
      </c>
      <c r="C12" s="43" t="s">
        <v>51</v>
      </c>
      <c r="D12" s="101">
        <v>53</v>
      </c>
      <c r="E12" s="47">
        <v>10530</v>
      </c>
      <c r="F12" s="35">
        <v>500</v>
      </c>
      <c r="G12" s="118">
        <v>5</v>
      </c>
      <c r="H12" s="424" t="s">
        <v>83</v>
      </c>
      <c r="I12" s="64">
        <v>3.220510452054905</v>
      </c>
      <c r="J12" s="27">
        <v>4.2103106255607203</v>
      </c>
      <c r="K12" s="27">
        <v>1.8266914375952619</v>
      </c>
      <c r="L12" s="27">
        <v>3.6667779947578927</v>
      </c>
      <c r="M12" s="27">
        <v>3.085727399001942</v>
      </c>
      <c r="N12" s="27">
        <v>4.7568010693015204</v>
      </c>
      <c r="O12" s="65" t="s">
        <v>73</v>
      </c>
      <c r="P12" s="163">
        <v>3.4611364963787072</v>
      </c>
      <c r="Q12" s="437">
        <v>3.4802767990507189</v>
      </c>
      <c r="R12" s="422">
        <v>3.5967496550129545</v>
      </c>
      <c r="S12" s="359">
        <v>5</v>
      </c>
      <c r="T12" s="124">
        <f t="shared" ref="T12:T17" si="0">(0/6)*100</f>
        <v>0</v>
      </c>
      <c r="U12" s="432">
        <f>(0/18)*100</f>
        <v>0</v>
      </c>
      <c r="V12" s="429">
        <f>(0/36)*100</f>
        <v>0</v>
      </c>
    </row>
    <row r="13" spans="1:22" x14ac:dyDescent="0.2">
      <c r="A13" s="37" t="s">
        <v>6</v>
      </c>
      <c r="B13" s="14" t="s">
        <v>50</v>
      </c>
      <c r="C13" s="14" t="s">
        <v>51</v>
      </c>
      <c r="D13" s="100">
        <v>53</v>
      </c>
      <c r="E13" s="7">
        <v>20530</v>
      </c>
      <c r="F13" s="12">
        <v>926</v>
      </c>
      <c r="G13" s="119">
        <v>6</v>
      </c>
      <c r="H13" s="425"/>
      <c r="I13" s="66">
        <v>3.2591389065011107</v>
      </c>
      <c r="J13" s="28">
        <v>3.8586080138830248</v>
      </c>
      <c r="K13" s="28">
        <v>2.9717164582531193</v>
      </c>
      <c r="L13" s="28">
        <v>3.0774959660929002</v>
      </c>
      <c r="M13" s="28">
        <v>2.8871690701892421</v>
      </c>
      <c r="N13" s="28">
        <v>4.1158848697841401</v>
      </c>
      <c r="O13" s="67" t="s">
        <v>73</v>
      </c>
      <c r="P13" s="163">
        <v>3.3616688807839226</v>
      </c>
      <c r="Q13" s="437"/>
      <c r="R13" s="422"/>
      <c r="S13" s="360"/>
      <c r="T13" s="124">
        <f t="shared" si="0"/>
        <v>0</v>
      </c>
      <c r="U13" s="433"/>
      <c r="V13" s="430"/>
    </row>
    <row r="14" spans="1:22" x14ac:dyDescent="0.2">
      <c r="A14" s="38" t="s">
        <v>6</v>
      </c>
      <c r="B14" s="45" t="s">
        <v>50</v>
      </c>
      <c r="C14" s="45" t="s">
        <v>51</v>
      </c>
      <c r="D14" s="102">
        <v>53</v>
      </c>
      <c r="E14" s="48">
        <v>30530</v>
      </c>
      <c r="F14" s="41">
        <v>3704</v>
      </c>
      <c r="G14" s="117">
        <v>14</v>
      </c>
      <c r="H14" s="425"/>
      <c r="I14" s="68">
        <v>3.4780089433206927</v>
      </c>
      <c r="J14" s="29">
        <v>3.7851439079296929</v>
      </c>
      <c r="K14" s="29">
        <v>2.9823982600948127</v>
      </c>
      <c r="L14" s="29">
        <v>3.6444915938545241</v>
      </c>
      <c r="M14" s="29">
        <v>3.4362057731110038</v>
      </c>
      <c r="N14" s="29">
        <v>4.3819016416264276</v>
      </c>
      <c r="O14" s="69" t="s">
        <v>73</v>
      </c>
      <c r="P14" s="163">
        <v>3.6180250199895254</v>
      </c>
      <c r="Q14" s="437"/>
      <c r="R14" s="422"/>
      <c r="S14" s="360"/>
      <c r="T14" s="124">
        <f t="shared" si="0"/>
        <v>0</v>
      </c>
      <c r="U14" s="434"/>
      <c r="V14" s="430"/>
    </row>
    <row r="15" spans="1:22" x14ac:dyDescent="0.2">
      <c r="A15" s="32" t="s">
        <v>6</v>
      </c>
      <c r="B15" s="43" t="s">
        <v>49</v>
      </c>
      <c r="C15" s="43" t="s">
        <v>52</v>
      </c>
      <c r="D15" s="101">
        <v>56</v>
      </c>
      <c r="E15" s="47">
        <v>10560</v>
      </c>
      <c r="F15" s="35">
        <v>500</v>
      </c>
      <c r="G15" s="118">
        <v>2.5</v>
      </c>
      <c r="H15" s="425"/>
      <c r="I15" s="64">
        <v>3.2027195856160033</v>
      </c>
      <c r="J15" s="27">
        <v>3.1995640683905653</v>
      </c>
      <c r="K15" s="27">
        <v>2.203661706759513</v>
      </c>
      <c r="L15" s="27">
        <v>4.0121525968728617</v>
      </c>
      <c r="M15" s="27">
        <v>3.5694078352981329</v>
      </c>
      <c r="N15" s="27">
        <v>4.5938394545829198</v>
      </c>
      <c r="O15" s="65" t="s">
        <v>73</v>
      </c>
      <c r="P15" s="163">
        <v>3.463557541253333</v>
      </c>
      <c r="Q15" s="437">
        <v>3.7132225109751866</v>
      </c>
      <c r="R15" s="422"/>
      <c r="S15" s="360"/>
      <c r="T15" s="124">
        <f t="shared" si="0"/>
        <v>0</v>
      </c>
      <c r="U15" s="432">
        <f>(0/18)*100</f>
        <v>0</v>
      </c>
      <c r="V15" s="430"/>
    </row>
    <row r="16" spans="1:22" x14ac:dyDescent="0.2">
      <c r="A16" s="37" t="s">
        <v>6</v>
      </c>
      <c r="B16" s="14" t="s">
        <v>49</v>
      </c>
      <c r="C16" s="14" t="s">
        <v>52</v>
      </c>
      <c r="D16" s="100">
        <v>56</v>
      </c>
      <c r="E16" s="12">
        <v>20560</v>
      </c>
      <c r="F16" s="12">
        <v>926</v>
      </c>
      <c r="G16" s="119">
        <v>5</v>
      </c>
      <c r="H16" s="425"/>
      <c r="I16" s="66">
        <v>3.1555309728077643</v>
      </c>
      <c r="J16" s="28">
        <v>3.6651611931187276</v>
      </c>
      <c r="K16" s="28">
        <v>2.1905560226346328</v>
      </c>
      <c r="L16" s="28">
        <v>3.9538872290360061</v>
      </c>
      <c r="M16" s="28">
        <v>3.8046885286195815</v>
      </c>
      <c r="N16" s="28">
        <v>4.738760657655801</v>
      </c>
      <c r="O16" s="67" t="s">
        <v>73</v>
      </c>
      <c r="P16" s="163">
        <v>3.5847641006454189</v>
      </c>
      <c r="Q16" s="437"/>
      <c r="R16" s="422"/>
      <c r="S16" s="360"/>
      <c r="T16" s="124">
        <f t="shared" si="0"/>
        <v>0</v>
      </c>
      <c r="U16" s="433"/>
      <c r="V16" s="430"/>
    </row>
    <row r="17" spans="1:22" x14ac:dyDescent="0.2">
      <c r="A17" s="38" t="s">
        <v>6</v>
      </c>
      <c r="B17" s="45" t="s">
        <v>49</v>
      </c>
      <c r="C17" s="45" t="s">
        <v>52</v>
      </c>
      <c r="D17" s="102">
        <v>56</v>
      </c>
      <c r="E17" s="41">
        <v>30560</v>
      </c>
      <c r="F17" s="41">
        <v>3704</v>
      </c>
      <c r="G17" s="117">
        <v>16</v>
      </c>
      <c r="H17" s="426"/>
      <c r="I17" s="68">
        <v>4.1935220451132613</v>
      </c>
      <c r="J17" s="29">
        <v>4.7624390008029396</v>
      </c>
      <c r="K17" s="29">
        <v>2.4912898594815278</v>
      </c>
      <c r="L17" s="29">
        <v>4.1502332381798031</v>
      </c>
      <c r="M17" s="29">
        <v>4.0378308882566172</v>
      </c>
      <c r="N17" s="29">
        <v>4.91276031432671</v>
      </c>
      <c r="O17" s="69" t="s">
        <v>73</v>
      </c>
      <c r="P17" s="165">
        <v>4.0913458910268101</v>
      </c>
      <c r="Q17" s="437"/>
      <c r="R17" s="422"/>
      <c r="S17" s="361"/>
      <c r="T17" s="124">
        <f t="shared" si="0"/>
        <v>0</v>
      </c>
      <c r="U17" s="434"/>
      <c r="V17" s="431"/>
    </row>
    <row r="18" spans="1:22" x14ac:dyDescent="0.2">
      <c r="A18" s="32" t="s">
        <v>6</v>
      </c>
      <c r="B18" s="43" t="s">
        <v>16</v>
      </c>
      <c r="C18" s="43" t="s">
        <v>53</v>
      </c>
      <c r="D18" s="101">
        <v>64</v>
      </c>
      <c r="E18" s="35">
        <v>10640</v>
      </c>
      <c r="F18" s="35">
        <v>500</v>
      </c>
      <c r="G18" s="118">
        <v>2.5</v>
      </c>
      <c r="H18" s="424" t="s">
        <v>88</v>
      </c>
      <c r="I18" s="64">
        <v>4.2701893849351107</v>
      </c>
      <c r="J18" s="27">
        <v>3.3320278078151766</v>
      </c>
      <c r="K18" s="27">
        <v>5.7437847132433317</v>
      </c>
      <c r="L18" s="27">
        <v>5.4224677407112178</v>
      </c>
      <c r="M18" s="27">
        <v>4.290597536316521</v>
      </c>
      <c r="N18" s="27">
        <v>4.9757660928305736</v>
      </c>
      <c r="O18" s="65" t="s">
        <v>73</v>
      </c>
      <c r="P18" s="165">
        <v>4.6724722126419884</v>
      </c>
      <c r="Q18" s="435">
        <v>4.2663342946772573</v>
      </c>
      <c r="R18" s="423">
        <v>4.4036689322847442</v>
      </c>
      <c r="S18" s="359">
        <v>5</v>
      </c>
      <c r="T18" s="124">
        <f>(2/6)*100</f>
        <v>33.333333333333329</v>
      </c>
      <c r="U18" s="432">
        <f>(4/18)*100</f>
        <v>22.222222222222221</v>
      </c>
      <c r="V18" s="429">
        <f>(8/34)*100</f>
        <v>23.52941176470588</v>
      </c>
    </row>
    <row r="19" spans="1:22" x14ac:dyDescent="0.2">
      <c r="A19" s="37" t="s">
        <v>6</v>
      </c>
      <c r="B19" s="14" t="s">
        <v>16</v>
      </c>
      <c r="C19" s="14" t="s">
        <v>53</v>
      </c>
      <c r="D19" s="100">
        <v>64</v>
      </c>
      <c r="E19" s="12">
        <v>20640</v>
      </c>
      <c r="F19" s="12">
        <v>926</v>
      </c>
      <c r="G19" s="119">
        <v>9.5</v>
      </c>
      <c r="H19" s="425"/>
      <c r="I19" s="66">
        <v>3.6402457919263087</v>
      </c>
      <c r="J19" s="28">
        <v>3.3040250125761701</v>
      </c>
      <c r="K19" s="28">
        <v>5.6347875504436509</v>
      </c>
      <c r="L19" s="28">
        <v>4.3613485467715654</v>
      </c>
      <c r="M19" s="28">
        <v>3.460229814624709</v>
      </c>
      <c r="N19" s="28">
        <v>4.6269828489322071</v>
      </c>
      <c r="O19" s="67" t="s">
        <v>73</v>
      </c>
      <c r="P19" s="165">
        <v>4.1712699275457688</v>
      </c>
      <c r="Q19" s="435"/>
      <c r="R19" s="423"/>
      <c r="S19" s="360"/>
      <c r="T19" s="124">
        <f>(1/6)*100</f>
        <v>16.666666666666664</v>
      </c>
      <c r="U19" s="433"/>
      <c r="V19" s="430"/>
    </row>
    <row r="20" spans="1:22" x14ac:dyDescent="0.2">
      <c r="A20" s="38" t="s">
        <v>6</v>
      </c>
      <c r="B20" s="45" t="s">
        <v>16</v>
      </c>
      <c r="C20" s="45" t="s">
        <v>53</v>
      </c>
      <c r="D20" s="102">
        <v>64</v>
      </c>
      <c r="E20" s="41">
        <v>30640</v>
      </c>
      <c r="F20" s="41">
        <v>3704</v>
      </c>
      <c r="G20" s="117">
        <v>19</v>
      </c>
      <c r="H20" s="425"/>
      <c r="I20" s="68">
        <v>3.8493926019322906</v>
      </c>
      <c r="J20" s="29">
        <v>2.2426644269993785</v>
      </c>
      <c r="K20" s="29">
        <v>5.1734367425321928</v>
      </c>
      <c r="L20" s="29">
        <v>3.9922831663590426</v>
      </c>
      <c r="M20" s="29">
        <v>4.2343041830723536</v>
      </c>
      <c r="N20" s="29">
        <v>4.2394833421688185</v>
      </c>
      <c r="O20" s="69" t="s">
        <v>73</v>
      </c>
      <c r="P20" s="163">
        <v>3.9552607438440126</v>
      </c>
      <c r="Q20" s="435"/>
      <c r="R20" s="423"/>
      <c r="S20" s="360"/>
      <c r="T20" s="124">
        <f>(1/6)*100</f>
        <v>16.666666666666664</v>
      </c>
      <c r="U20" s="434"/>
      <c r="V20" s="430"/>
    </row>
    <row r="21" spans="1:22" x14ac:dyDescent="0.2">
      <c r="A21" s="32" t="s">
        <v>19</v>
      </c>
      <c r="B21" s="43" t="s">
        <v>20</v>
      </c>
      <c r="C21" s="43" t="s">
        <v>54</v>
      </c>
      <c r="D21" s="101">
        <v>72</v>
      </c>
      <c r="E21" s="35">
        <v>10720</v>
      </c>
      <c r="F21" s="35">
        <v>500</v>
      </c>
      <c r="G21" s="118">
        <v>2</v>
      </c>
      <c r="H21" s="425"/>
      <c r="I21" s="64">
        <v>4.9507534562040076</v>
      </c>
      <c r="J21" s="27">
        <v>3.3936219011352486</v>
      </c>
      <c r="K21" s="150"/>
      <c r="L21" s="27">
        <v>5.5469808740427338</v>
      </c>
      <c r="M21" s="27">
        <v>3.6119854276489445</v>
      </c>
      <c r="N21" s="27">
        <v>4.3649137860540401</v>
      </c>
      <c r="O21" s="65">
        <v>5.9329864463307116</v>
      </c>
      <c r="P21" s="165">
        <v>4.6335403152359484</v>
      </c>
      <c r="Q21" s="435">
        <v>4.5581703995931679</v>
      </c>
      <c r="R21" s="423"/>
      <c r="S21" s="360"/>
      <c r="T21" s="124">
        <f>(2/6)*100</f>
        <v>33.333333333333329</v>
      </c>
      <c r="U21" s="432">
        <f>(4/16)*100</f>
        <v>25</v>
      </c>
      <c r="V21" s="430"/>
    </row>
    <row r="22" spans="1:22" x14ac:dyDescent="0.2">
      <c r="A22" s="37" t="s">
        <v>19</v>
      </c>
      <c r="B22" s="14" t="s">
        <v>20</v>
      </c>
      <c r="C22" s="14" t="s">
        <v>54</v>
      </c>
      <c r="D22" s="100">
        <v>72</v>
      </c>
      <c r="E22" s="12">
        <v>20720</v>
      </c>
      <c r="F22" s="12">
        <v>926</v>
      </c>
      <c r="G22" s="119">
        <v>3.5</v>
      </c>
      <c r="H22" s="425"/>
      <c r="I22" s="66">
        <v>4.7842997420369109</v>
      </c>
      <c r="J22" s="28">
        <v>3.1221210876375576</v>
      </c>
      <c r="K22" s="148"/>
      <c r="L22" s="28" t="s">
        <v>73</v>
      </c>
      <c r="M22" s="28">
        <v>4.2194038503551345</v>
      </c>
      <c r="N22" s="28">
        <v>4.8071836749206032</v>
      </c>
      <c r="O22" s="67">
        <v>5.9480060648330735</v>
      </c>
      <c r="P22" s="165">
        <v>4.5762028839566558</v>
      </c>
      <c r="Q22" s="435"/>
      <c r="R22" s="423"/>
      <c r="S22" s="360"/>
      <c r="T22" s="124">
        <f>(1/5)*100</f>
        <v>20</v>
      </c>
      <c r="U22" s="433"/>
      <c r="V22" s="430"/>
    </row>
    <row r="23" spans="1:22" x14ac:dyDescent="0.2">
      <c r="A23" s="38" t="s">
        <v>19</v>
      </c>
      <c r="B23" s="45" t="s">
        <v>20</v>
      </c>
      <c r="C23" s="45" t="s">
        <v>54</v>
      </c>
      <c r="D23" s="102">
        <v>72</v>
      </c>
      <c r="E23" s="41">
        <v>30720</v>
      </c>
      <c r="F23" s="41">
        <v>3704</v>
      </c>
      <c r="G23" s="117">
        <v>13.5</v>
      </c>
      <c r="H23" s="426"/>
      <c r="I23" s="68">
        <v>4.744089311651674</v>
      </c>
      <c r="J23" s="29">
        <v>3.4016753073946422</v>
      </c>
      <c r="K23" s="149"/>
      <c r="L23" s="29" t="s">
        <v>73</v>
      </c>
      <c r="M23" s="29">
        <v>4.2007042303587641</v>
      </c>
      <c r="N23" s="29">
        <v>3.9775376410405214</v>
      </c>
      <c r="O23" s="69">
        <v>5.9244635918461075</v>
      </c>
      <c r="P23" s="165">
        <v>4.4496940164583423</v>
      </c>
      <c r="Q23" s="435"/>
      <c r="R23" s="423"/>
      <c r="S23" s="361"/>
      <c r="T23" s="124">
        <f>(1/5)*100</f>
        <v>20</v>
      </c>
      <c r="U23" s="434"/>
      <c r="V23" s="431"/>
    </row>
    <row r="24" spans="1:22" x14ac:dyDescent="0.2">
      <c r="A24" s="32" t="s">
        <v>19</v>
      </c>
      <c r="B24" s="33" t="s">
        <v>24</v>
      </c>
      <c r="C24" s="33" t="s">
        <v>25</v>
      </c>
      <c r="D24" s="101">
        <v>601</v>
      </c>
      <c r="E24" s="34">
        <v>16010</v>
      </c>
      <c r="F24" s="35">
        <v>500</v>
      </c>
      <c r="G24" s="118">
        <v>5</v>
      </c>
      <c r="H24" s="424" t="s">
        <v>84</v>
      </c>
      <c r="I24" s="64">
        <v>5.7086212035268904</v>
      </c>
      <c r="J24" s="27">
        <v>5.6768965003036582</v>
      </c>
      <c r="K24" s="150"/>
      <c r="L24" s="27">
        <v>5.0969888055786807</v>
      </c>
      <c r="M24" s="27">
        <v>4.5220505551650261</v>
      </c>
      <c r="N24" s="27">
        <v>3.8646936043606526</v>
      </c>
      <c r="O24" s="65">
        <v>5.6102740197139447</v>
      </c>
      <c r="P24" s="167">
        <v>5.0799207814414755</v>
      </c>
      <c r="Q24" s="435">
        <v>4.7574657865360512</v>
      </c>
      <c r="R24" s="423">
        <v>4.9418510455076996</v>
      </c>
      <c r="S24" s="359">
        <v>5</v>
      </c>
      <c r="T24" s="124">
        <f>(4/6)*100</f>
        <v>66.666666666666657</v>
      </c>
      <c r="U24" s="432">
        <f>(8/16)*100</f>
        <v>50</v>
      </c>
      <c r="V24" s="429">
        <f>(16/33)*100</f>
        <v>48.484848484848484</v>
      </c>
    </row>
    <row r="25" spans="1:22" x14ac:dyDescent="0.2">
      <c r="A25" s="37" t="s">
        <v>19</v>
      </c>
      <c r="B25" s="15" t="s">
        <v>24</v>
      </c>
      <c r="C25" s="15" t="s">
        <v>25</v>
      </c>
      <c r="D25" s="100">
        <v>601</v>
      </c>
      <c r="E25" s="11">
        <v>26010</v>
      </c>
      <c r="F25" s="12">
        <v>926</v>
      </c>
      <c r="G25" s="119">
        <v>16</v>
      </c>
      <c r="H25" s="425"/>
      <c r="I25" s="66">
        <v>5.5983864121648148</v>
      </c>
      <c r="J25" s="28">
        <v>5.6909435441060108</v>
      </c>
      <c r="K25" s="28">
        <v>3.9248501847128745</v>
      </c>
      <c r="L25" s="28" t="s">
        <v>73</v>
      </c>
      <c r="M25" s="28">
        <v>3.3286154106848231</v>
      </c>
      <c r="N25" s="28">
        <v>4.4667280468993456</v>
      </c>
      <c r="O25" s="67" t="s">
        <v>73</v>
      </c>
      <c r="P25" s="165">
        <v>4.6019047197135734</v>
      </c>
      <c r="Q25" s="435"/>
      <c r="R25" s="423"/>
      <c r="S25" s="360"/>
      <c r="T25" s="124">
        <f>(2/5)*100</f>
        <v>40</v>
      </c>
      <c r="U25" s="433"/>
      <c r="V25" s="430"/>
    </row>
    <row r="26" spans="1:22" x14ac:dyDescent="0.2">
      <c r="A26" s="38" t="s">
        <v>19</v>
      </c>
      <c r="B26" s="39" t="s">
        <v>24</v>
      </c>
      <c r="C26" s="39" t="s">
        <v>25</v>
      </c>
      <c r="D26" s="102">
        <v>601</v>
      </c>
      <c r="E26" s="40">
        <v>36010</v>
      </c>
      <c r="F26" s="41">
        <v>3704</v>
      </c>
      <c r="G26" s="117">
        <v>27</v>
      </c>
      <c r="H26" s="425"/>
      <c r="I26" s="68">
        <v>5.0545683176036622</v>
      </c>
      <c r="J26" s="29">
        <v>5.2259106094811827</v>
      </c>
      <c r="K26" s="29">
        <v>2.6537484925998189</v>
      </c>
      <c r="L26" s="29" t="s">
        <v>73</v>
      </c>
      <c r="M26" s="29">
        <v>4.879330453159799</v>
      </c>
      <c r="N26" s="29">
        <v>4.8168464245156279</v>
      </c>
      <c r="O26" s="69" t="s">
        <v>73</v>
      </c>
      <c r="P26" s="165">
        <v>4.5260808594720183</v>
      </c>
      <c r="Q26" s="435"/>
      <c r="R26" s="423"/>
      <c r="S26" s="360"/>
      <c r="T26" s="124">
        <f>(2/5)*100</f>
        <v>40</v>
      </c>
      <c r="U26" s="434"/>
      <c r="V26" s="430"/>
    </row>
    <row r="27" spans="1:22" x14ac:dyDescent="0.2">
      <c r="A27" s="120" t="s">
        <v>19</v>
      </c>
      <c r="B27" s="33" t="s">
        <v>24</v>
      </c>
      <c r="C27" s="33" t="s">
        <v>78</v>
      </c>
      <c r="D27" s="101">
        <v>82</v>
      </c>
      <c r="E27" s="35">
        <v>10820</v>
      </c>
      <c r="F27" s="35">
        <v>500</v>
      </c>
      <c r="G27" s="118">
        <v>5</v>
      </c>
      <c r="H27" s="425"/>
      <c r="I27" s="64">
        <v>6.6821719615140998</v>
      </c>
      <c r="J27" s="27">
        <v>4.5118066736641467</v>
      </c>
      <c r="K27" s="27">
        <v>4.8923646734724358</v>
      </c>
      <c r="L27" s="27" t="s">
        <v>73</v>
      </c>
      <c r="M27" s="27">
        <v>5.0010157027271864</v>
      </c>
      <c r="N27" s="27">
        <v>5.5744938734186533</v>
      </c>
      <c r="O27" s="65" t="s">
        <v>73</v>
      </c>
      <c r="P27" s="167">
        <v>5.3323705769593044</v>
      </c>
      <c r="Q27" s="436">
        <v>5.1153901127751338</v>
      </c>
      <c r="R27" s="423"/>
      <c r="S27" s="360"/>
      <c r="T27" s="124">
        <f>(3/5)*100</f>
        <v>60</v>
      </c>
      <c r="U27" s="432">
        <f>(8/17)*100</f>
        <v>47.058823529411761</v>
      </c>
      <c r="V27" s="430"/>
    </row>
    <row r="28" spans="1:22" x14ac:dyDescent="0.2">
      <c r="A28" s="121" t="s">
        <v>19</v>
      </c>
      <c r="B28" s="15" t="s">
        <v>24</v>
      </c>
      <c r="C28" s="15" t="s">
        <v>78</v>
      </c>
      <c r="D28" s="100">
        <v>82</v>
      </c>
      <c r="E28" s="12">
        <v>20820</v>
      </c>
      <c r="F28" s="12">
        <v>926</v>
      </c>
      <c r="G28" s="119">
        <v>7</v>
      </c>
      <c r="H28" s="425"/>
      <c r="I28" s="66">
        <v>6.566650482047991</v>
      </c>
      <c r="J28" s="28">
        <v>4.2388224693326215</v>
      </c>
      <c r="K28" s="28">
        <v>6.036148247328347</v>
      </c>
      <c r="L28" s="28">
        <v>4.9482233413790055</v>
      </c>
      <c r="M28" s="28">
        <v>3.4809341713326853</v>
      </c>
      <c r="N28" s="28">
        <v>4.5548031116252243</v>
      </c>
      <c r="O28" s="67" t="s">
        <v>73</v>
      </c>
      <c r="P28" s="165">
        <v>4.9709303038409791</v>
      </c>
      <c r="Q28" s="436"/>
      <c r="R28" s="423"/>
      <c r="S28" s="360"/>
      <c r="T28" s="124">
        <f>(2/6)*100</f>
        <v>33.333333333333329</v>
      </c>
      <c r="U28" s="433"/>
      <c r="V28" s="430"/>
    </row>
    <row r="29" spans="1:22" x14ac:dyDescent="0.2">
      <c r="A29" s="122" t="s">
        <v>19</v>
      </c>
      <c r="B29" s="39" t="s">
        <v>24</v>
      </c>
      <c r="C29" s="39" t="s">
        <v>78</v>
      </c>
      <c r="D29" s="102">
        <v>82</v>
      </c>
      <c r="E29" s="41">
        <v>30820</v>
      </c>
      <c r="F29" s="41">
        <v>3704</v>
      </c>
      <c r="G29" s="117">
        <v>15</v>
      </c>
      <c r="H29" s="426"/>
      <c r="I29" s="68">
        <v>6.4454136402292885</v>
      </c>
      <c r="J29" s="29">
        <v>5.6229238683235065</v>
      </c>
      <c r="K29" s="29">
        <v>3.769786293428798</v>
      </c>
      <c r="L29" s="29">
        <v>4.6951333659874619</v>
      </c>
      <c r="M29" s="29">
        <v>5.1886557828490529</v>
      </c>
      <c r="N29" s="29">
        <v>4.7522842585167613</v>
      </c>
      <c r="O29" s="69" t="s">
        <v>73</v>
      </c>
      <c r="P29" s="167">
        <v>5.0790328682224777</v>
      </c>
      <c r="Q29" s="436"/>
      <c r="R29" s="423"/>
      <c r="S29" s="361"/>
      <c r="T29" s="124">
        <f>(3/6)*100</f>
        <v>50</v>
      </c>
      <c r="U29" s="434"/>
      <c r="V29" s="431"/>
    </row>
    <row r="30" spans="1:22" ht="15" x14ac:dyDescent="0.2">
      <c r="A30" s="159" t="s">
        <v>6</v>
      </c>
      <c r="B30" s="160" t="s">
        <v>50</v>
      </c>
      <c r="C30" s="161" t="s">
        <v>106</v>
      </c>
      <c r="D30" s="156"/>
      <c r="E30" s="158">
        <v>40530</v>
      </c>
      <c r="F30" s="157">
        <v>8334</v>
      </c>
      <c r="G30" s="162">
        <v>18</v>
      </c>
      <c r="H30" s="154" t="s">
        <v>104</v>
      </c>
      <c r="I30" s="66">
        <v>3.2279727977743162</v>
      </c>
      <c r="J30" s="28">
        <v>2.9691586504428478</v>
      </c>
      <c r="K30" s="28">
        <v>2.9800019533373074</v>
      </c>
      <c r="L30" s="28">
        <v>4.081325464298879</v>
      </c>
      <c r="M30" s="28">
        <v>3.5172117641710443</v>
      </c>
      <c r="N30" s="28">
        <v>3.5319824182803305</v>
      </c>
      <c r="O30" s="67" t="s">
        <v>73</v>
      </c>
      <c r="P30" s="163">
        <v>3.3846088413841202</v>
      </c>
      <c r="Q30" s="164">
        <v>3.3846088413841202</v>
      </c>
      <c r="R30" s="169">
        <v>3.3846088413841202</v>
      </c>
      <c r="S30" s="172">
        <v>4.5</v>
      </c>
      <c r="T30" s="124">
        <f>(0/6)*100</f>
        <v>0</v>
      </c>
      <c r="U30" s="124">
        <f>(0/6)*100</f>
        <v>0</v>
      </c>
      <c r="V30" s="145">
        <f>(0/6)*100</f>
        <v>0</v>
      </c>
    </row>
    <row r="31" spans="1:22" ht="15" x14ac:dyDescent="0.2">
      <c r="A31" s="159" t="s">
        <v>19</v>
      </c>
      <c r="B31" s="160" t="s">
        <v>20</v>
      </c>
      <c r="C31" s="160" t="s">
        <v>54</v>
      </c>
      <c r="D31" s="156"/>
      <c r="E31" s="157">
        <v>40720</v>
      </c>
      <c r="F31" s="157">
        <v>7233</v>
      </c>
      <c r="G31" s="162">
        <v>21</v>
      </c>
      <c r="H31" s="155" t="s">
        <v>105</v>
      </c>
      <c r="I31" s="151">
        <v>4.7197300159151956</v>
      </c>
      <c r="J31" s="152">
        <v>2.8295661090868038</v>
      </c>
      <c r="K31" s="153"/>
      <c r="L31" s="152">
        <v>5.1402744410404058</v>
      </c>
      <c r="M31" s="152">
        <v>2.2657169744514758</v>
      </c>
      <c r="N31" s="152">
        <v>4.0326212899139335</v>
      </c>
      <c r="O31" s="147">
        <v>5.4113917122096531</v>
      </c>
      <c r="P31" s="165">
        <v>4.0665500904362446</v>
      </c>
      <c r="Q31" s="166">
        <v>4.0665500904362446</v>
      </c>
      <c r="R31" s="168">
        <v>4.0665500904362446</v>
      </c>
      <c r="S31" s="172">
        <v>4.5</v>
      </c>
      <c r="T31" s="124">
        <f>(3/6)*100</f>
        <v>50</v>
      </c>
      <c r="U31" s="124">
        <f>(3/6)*100</f>
        <v>50</v>
      </c>
      <c r="V31" s="145">
        <f>(3/6)*100</f>
        <v>50</v>
      </c>
    </row>
    <row r="33" spans="2:4" x14ac:dyDescent="0.2">
      <c r="B33" s="5"/>
      <c r="D33" s="100"/>
    </row>
    <row r="34" spans="2:4" x14ac:dyDescent="0.2">
      <c r="B34" s="5"/>
      <c r="D34" s="100"/>
    </row>
    <row r="35" spans="2:4" x14ac:dyDescent="0.2">
      <c r="B35" s="5"/>
      <c r="D35" s="100"/>
    </row>
    <row r="36" spans="2:4" x14ac:dyDescent="0.2">
      <c r="B36" s="5"/>
      <c r="D36" s="100"/>
    </row>
    <row r="37" spans="2:4" x14ac:dyDescent="0.2">
      <c r="B37" s="5"/>
      <c r="D37" s="100"/>
    </row>
    <row r="38" spans="2:4" x14ac:dyDescent="0.2">
      <c r="B38" s="5"/>
      <c r="D38" s="100"/>
    </row>
  </sheetData>
  <mergeCells count="36">
    <mergeCell ref="P1:R1"/>
    <mergeCell ref="T1:V1"/>
    <mergeCell ref="Q15:Q17"/>
    <mergeCell ref="Q18:Q20"/>
    <mergeCell ref="R18:R23"/>
    <mergeCell ref="Q21:Q23"/>
    <mergeCell ref="Q9:Q11"/>
    <mergeCell ref="Q12:Q14"/>
    <mergeCell ref="R12:R17"/>
    <mergeCell ref="U3:U5"/>
    <mergeCell ref="V3:V11"/>
    <mergeCell ref="V12:V17"/>
    <mergeCell ref="V18:V23"/>
    <mergeCell ref="Q24:Q26"/>
    <mergeCell ref="R24:R29"/>
    <mergeCell ref="Q27:Q29"/>
    <mergeCell ref="H3:H11"/>
    <mergeCell ref="H12:H17"/>
    <mergeCell ref="H18:H23"/>
    <mergeCell ref="H24:H29"/>
    <mergeCell ref="Q3:Q5"/>
    <mergeCell ref="R3:R11"/>
    <mergeCell ref="Q6:Q8"/>
    <mergeCell ref="V24:V29"/>
    <mergeCell ref="S3:S11"/>
    <mergeCell ref="S12:S17"/>
    <mergeCell ref="S18:S23"/>
    <mergeCell ref="U6:U8"/>
    <mergeCell ref="U9:U11"/>
    <mergeCell ref="U12:U14"/>
    <mergeCell ref="U15:U17"/>
    <mergeCell ref="S24:S29"/>
    <mergeCell ref="U24:U26"/>
    <mergeCell ref="U27:U29"/>
    <mergeCell ref="U18:U20"/>
    <mergeCell ref="U21:U23"/>
  </mergeCells>
  <phoneticPr fontId="16"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39"/>
  <sheetViews>
    <sheetView zoomScale="55" zoomScaleNormal="55" workbookViewId="0">
      <selection activeCell="J25" sqref="J25"/>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bestFit="1" customWidth="1"/>
    <col min="13" max="13" width="11" customWidth="1"/>
    <col min="14" max="14" width="10.5703125" customWidth="1"/>
    <col min="15" max="15" width="10.85546875" customWidth="1"/>
    <col min="16" max="17" width="11.28515625" customWidth="1"/>
    <col min="18" max="18" width="12.28515625" customWidth="1"/>
    <col min="19" max="19" width="13.85546875" style="171" customWidth="1"/>
    <col min="20" max="21" width="13" customWidth="1"/>
    <col min="22" max="22" width="14.7109375" customWidth="1"/>
  </cols>
  <sheetData>
    <row r="1" spans="1:22" ht="51" customHeight="1" x14ac:dyDescent="0.2">
      <c r="P1" s="371" t="s">
        <v>90</v>
      </c>
      <c r="Q1" s="371"/>
      <c r="R1" s="371"/>
      <c r="S1" s="170"/>
      <c r="T1" s="371" t="s">
        <v>94</v>
      </c>
      <c r="U1" s="371"/>
      <c r="V1" s="371"/>
    </row>
    <row r="2" spans="1:22" ht="51" x14ac:dyDescent="0.2">
      <c r="A2" s="74" t="s">
        <v>0</v>
      </c>
      <c r="B2" s="75" t="s">
        <v>1</v>
      </c>
      <c r="C2" s="74" t="s">
        <v>2</v>
      </c>
      <c r="D2" s="25" t="s">
        <v>89</v>
      </c>
      <c r="E2" s="74" t="s">
        <v>81</v>
      </c>
      <c r="F2" s="74" t="s">
        <v>4</v>
      </c>
      <c r="G2" s="74" t="s">
        <v>5</v>
      </c>
      <c r="H2" s="1" t="s">
        <v>85</v>
      </c>
      <c r="I2" s="25" t="s">
        <v>29</v>
      </c>
      <c r="J2" s="25" t="s">
        <v>30</v>
      </c>
      <c r="K2" s="25" t="s">
        <v>77</v>
      </c>
      <c r="L2" s="25" t="s">
        <v>75</v>
      </c>
      <c r="M2" s="25" t="s">
        <v>74</v>
      </c>
      <c r="N2" s="25" t="s">
        <v>43</v>
      </c>
      <c r="O2" s="25" t="s">
        <v>44</v>
      </c>
      <c r="P2" s="25" t="s">
        <v>71</v>
      </c>
      <c r="Q2" s="26" t="s">
        <v>72</v>
      </c>
      <c r="R2" s="26" t="s">
        <v>80</v>
      </c>
      <c r="S2" s="26" t="s">
        <v>107</v>
      </c>
      <c r="T2" s="146" t="s">
        <v>91</v>
      </c>
      <c r="U2" s="146" t="s">
        <v>92</v>
      </c>
      <c r="V2" s="146" t="s">
        <v>93</v>
      </c>
    </row>
    <row r="3" spans="1:22" x14ac:dyDescent="0.2">
      <c r="A3" s="183" t="s">
        <v>6</v>
      </c>
      <c r="B3" s="184" t="s">
        <v>9</v>
      </c>
      <c r="C3" s="184" t="s">
        <v>46</v>
      </c>
      <c r="D3" s="185">
        <v>8</v>
      </c>
      <c r="E3" s="186">
        <v>10080</v>
      </c>
      <c r="F3" s="187">
        <v>500</v>
      </c>
      <c r="G3" s="188">
        <v>3</v>
      </c>
      <c r="H3" s="424" t="s">
        <v>82</v>
      </c>
      <c r="I3" s="230">
        <v>4.4973451570187439</v>
      </c>
      <c r="J3" s="230">
        <v>5.4808197160808332</v>
      </c>
      <c r="K3" s="230">
        <v>6.1832265773377975</v>
      </c>
      <c r="L3" s="230">
        <v>4.5586721503417005</v>
      </c>
      <c r="M3" s="230">
        <v>3.9516141675514702</v>
      </c>
      <c r="N3" s="230">
        <v>5.3035039142952494</v>
      </c>
      <c r="O3" s="230"/>
      <c r="P3" s="225">
        <v>4.9958629999999999</v>
      </c>
      <c r="Q3" s="435">
        <v>4.9215770000000001</v>
      </c>
      <c r="R3" s="423">
        <v>4.8311799999999998</v>
      </c>
      <c r="S3" s="359">
        <v>5</v>
      </c>
      <c r="T3" s="124">
        <f>(3/6)*100</f>
        <v>50</v>
      </c>
      <c r="U3" s="432">
        <f>(9/17)*100</f>
        <v>52.941176470588239</v>
      </c>
      <c r="V3" s="429">
        <f>(22/48)*100</f>
        <v>45.833333333333329</v>
      </c>
    </row>
    <row r="4" spans="1:22" x14ac:dyDescent="0.2">
      <c r="A4" s="189" t="s">
        <v>6</v>
      </c>
      <c r="B4" s="190" t="s">
        <v>9</v>
      </c>
      <c r="C4" s="190" t="s">
        <v>46</v>
      </c>
      <c r="D4" s="191">
        <v>8</v>
      </c>
      <c r="E4" s="192">
        <v>20080</v>
      </c>
      <c r="F4" s="181">
        <v>926</v>
      </c>
      <c r="G4" s="193">
        <v>6</v>
      </c>
      <c r="H4" s="425"/>
      <c r="I4" s="230">
        <v>4.7067287561373385</v>
      </c>
      <c r="J4" s="230">
        <v>5.7128407051716303</v>
      </c>
      <c r="K4" s="230">
        <v>6.1768254305966028</v>
      </c>
      <c r="L4" s="230">
        <v>5.535075307076406</v>
      </c>
      <c r="M4" s="230">
        <v>3.9225991779357656</v>
      </c>
      <c r="N4" s="230">
        <v>5.0403879465433015</v>
      </c>
      <c r="O4" s="230"/>
      <c r="P4" s="226">
        <v>5.18241</v>
      </c>
      <c r="Q4" s="435"/>
      <c r="R4" s="423"/>
      <c r="S4" s="360"/>
      <c r="T4" s="124">
        <f>(4/6)*100</f>
        <v>66.666666666666657</v>
      </c>
      <c r="U4" s="433"/>
      <c r="V4" s="430"/>
    </row>
    <row r="5" spans="1:22" x14ac:dyDescent="0.2">
      <c r="A5" s="194" t="s">
        <v>6</v>
      </c>
      <c r="B5" s="195" t="s">
        <v>9</v>
      </c>
      <c r="C5" s="195" t="s">
        <v>46</v>
      </c>
      <c r="D5" s="196">
        <v>8</v>
      </c>
      <c r="E5" s="197">
        <v>30080</v>
      </c>
      <c r="F5" s="198">
        <v>3704</v>
      </c>
      <c r="G5" s="199">
        <v>13</v>
      </c>
      <c r="H5" s="425"/>
      <c r="I5" s="230">
        <v>5.1242772353253754</v>
      </c>
      <c r="J5" s="230">
        <v>5.8545078488986615</v>
      </c>
      <c r="K5" s="230" t="s">
        <v>73</v>
      </c>
      <c r="L5" s="230">
        <v>4.0472530275932375</v>
      </c>
      <c r="M5" s="230">
        <v>3.4151649738948082</v>
      </c>
      <c r="N5" s="230">
        <v>4.1559661979041014</v>
      </c>
      <c r="O5" s="230"/>
      <c r="P5" s="225">
        <v>4.5194340000000004</v>
      </c>
      <c r="Q5" s="435"/>
      <c r="R5" s="423"/>
      <c r="S5" s="360"/>
      <c r="T5" s="124">
        <f>(2/5)*100</f>
        <v>40</v>
      </c>
      <c r="U5" s="434"/>
      <c r="V5" s="430"/>
    </row>
    <row r="6" spans="1:22" x14ac:dyDescent="0.2">
      <c r="A6" s="183" t="s">
        <v>6</v>
      </c>
      <c r="B6" s="184" t="s">
        <v>12</v>
      </c>
      <c r="C6" s="184" t="s">
        <v>47</v>
      </c>
      <c r="D6" s="185">
        <v>24</v>
      </c>
      <c r="E6" s="186">
        <v>10240</v>
      </c>
      <c r="F6" s="187">
        <v>500</v>
      </c>
      <c r="G6" s="200">
        <v>4</v>
      </c>
      <c r="H6" s="425"/>
      <c r="I6" s="230">
        <v>5.1809656343628214</v>
      </c>
      <c r="J6" s="230">
        <v>4.9480823967981991</v>
      </c>
      <c r="K6" s="230">
        <v>6.4833203773314905</v>
      </c>
      <c r="L6" s="230"/>
      <c r="M6" s="230">
        <v>3.5400578420122981</v>
      </c>
      <c r="N6" s="230">
        <v>4.2276865650553059</v>
      </c>
      <c r="O6" s="230"/>
      <c r="P6" s="225">
        <v>4.8760219999999999</v>
      </c>
      <c r="Q6" s="435">
        <v>4.8220559999999999</v>
      </c>
      <c r="R6" s="423"/>
      <c r="S6" s="360"/>
      <c r="T6" s="124">
        <f>(2/5)*100</f>
        <v>40</v>
      </c>
      <c r="U6" s="432">
        <f>(8/15)*100</f>
        <v>53.333333333333336</v>
      </c>
      <c r="V6" s="430"/>
    </row>
    <row r="7" spans="1:22" x14ac:dyDescent="0.2">
      <c r="A7" s="189" t="s">
        <v>6</v>
      </c>
      <c r="B7" s="190" t="s">
        <v>12</v>
      </c>
      <c r="C7" s="190" t="s">
        <v>47</v>
      </c>
      <c r="D7" s="191">
        <v>24</v>
      </c>
      <c r="E7" s="192">
        <v>20240</v>
      </c>
      <c r="F7" s="181">
        <v>926</v>
      </c>
      <c r="G7" s="201">
        <v>7</v>
      </c>
      <c r="H7" s="425"/>
      <c r="I7" s="230">
        <v>5.0032204182866371</v>
      </c>
      <c r="J7" s="230">
        <v>5.2199428577645861</v>
      </c>
      <c r="K7" s="230">
        <v>6.0873862493172961</v>
      </c>
      <c r="L7" s="230" t="s">
        <v>73</v>
      </c>
      <c r="M7" s="230">
        <v>3.5541859915820151</v>
      </c>
      <c r="N7" s="230">
        <v>4.2557079121570727</v>
      </c>
      <c r="O7" s="230"/>
      <c r="P7" s="225">
        <v>4.8240889999999998</v>
      </c>
      <c r="Q7" s="435"/>
      <c r="R7" s="423"/>
      <c r="S7" s="360"/>
      <c r="T7" s="124">
        <f>(3/5)*100</f>
        <v>60</v>
      </c>
      <c r="U7" s="433"/>
      <c r="V7" s="430"/>
    </row>
    <row r="8" spans="1:22" x14ac:dyDescent="0.2">
      <c r="A8" s="194" t="s">
        <v>6</v>
      </c>
      <c r="B8" s="195" t="s">
        <v>12</v>
      </c>
      <c r="C8" s="195" t="s">
        <v>47</v>
      </c>
      <c r="D8" s="196">
        <v>24</v>
      </c>
      <c r="E8" s="197">
        <v>30240</v>
      </c>
      <c r="F8" s="198">
        <v>3704</v>
      </c>
      <c r="G8" s="199">
        <v>15</v>
      </c>
      <c r="H8" s="425"/>
      <c r="I8" s="230">
        <v>5.3175382668941857</v>
      </c>
      <c r="J8" s="230">
        <v>4.48527414175829</v>
      </c>
      <c r="K8" s="230">
        <v>5.6368321536627279</v>
      </c>
      <c r="L8" s="230" t="s">
        <v>73</v>
      </c>
      <c r="M8" s="230">
        <v>3.1881892069977766</v>
      </c>
      <c r="N8" s="230">
        <v>5.2024510067000032</v>
      </c>
      <c r="O8" s="231"/>
      <c r="P8" s="225">
        <v>4.766057</v>
      </c>
      <c r="Q8" s="435"/>
      <c r="R8" s="423"/>
      <c r="S8" s="360"/>
      <c r="T8" s="124">
        <f>(3/5)*100</f>
        <v>60</v>
      </c>
      <c r="U8" s="434"/>
      <c r="V8" s="430"/>
    </row>
    <row r="9" spans="1:22" x14ac:dyDescent="0.2">
      <c r="A9" s="183" t="s">
        <v>6</v>
      </c>
      <c r="B9" s="202" t="s">
        <v>13</v>
      </c>
      <c r="C9" s="184" t="s">
        <v>48</v>
      </c>
      <c r="D9" s="185">
        <v>40</v>
      </c>
      <c r="E9" s="186">
        <v>10400</v>
      </c>
      <c r="F9" s="187">
        <v>500</v>
      </c>
      <c r="G9" s="200">
        <v>3</v>
      </c>
      <c r="H9" s="425"/>
      <c r="I9" s="230">
        <v>4.8382109341645601</v>
      </c>
      <c r="J9" s="230">
        <v>4.3782953859115228</v>
      </c>
      <c r="K9" s="230">
        <v>5.4349175068733313</v>
      </c>
      <c r="L9" s="230">
        <v>5.4662104695442748</v>
      </c>
      <c r="M9" s="230">
        <v>3.7346120999336607</v>
      </c>
      <c r="N9" s="230">
        <v>4.4921974077070415</v>
      </c>
      <c r="O9" s="231"/>
      <c r="P9" s="225">
        <v>4.7240739999999999</v>
      </c>
      <c r="Q9" s="435">
        <v>4.7436860000000003</v>
      </c>
      <c r="R9" s="423"/>
      <c r="S9" s="360"/>
      <c r="T9" s="124">
        <f>(2/6)*100</f>
        <v>33.333333333333329</v>
      </c>
      <c r="U9" s="432">
        <f>(5/16)*100</f>
        <v>31.25</v>
      </c>
      <c r="V9" s="430"/>
    </row>
    <row r="10" spans="1:22" x14ac:dyDescent="0.2">
      <c r="A10" s="189" t="s">
        <v>6</v>
      </c>
      <c r="B10" s="203" t="s">
        <v>13</v>
      </c>
      <c r="C10" s="190" t="s">
        <v>48</v>
      </c>
      <c r="D10" s="191">
        <v>40</v>
      </c>
      <c r="E10" s="192">
        <v>20400</v>
      </c>
      <c r="F10" s="181">
        <v>926</v>
      </c>
      <c r="G10" s="201">
        <v>7</v>
      </c>
      <c r="H10" s="425"/>
      <c r="I10" s="230">
        <v>4.6355648295556264</v>
      </c>
      <c r="J10" s="230">
        <v>5.0779264943396596</v>
      </c>
      <c r="K10" s="230" t="s">
        <v>73</v>
      </c>
      <c r="L10" s="230">
        <v>5.3707415881862799</v>
      </c>
      <c r="M10" s="230">
        <v>4.265640934216707</v>
      </c>
      <c r="N10" s="230">
        <v>4.4154040715221665</v>
      </c>
      <c r="O10" s="231"/>
      <c r="P10" s="225">
        <v>4.7530559999999999</v>
      </c>
      <c r="Q10" s="435"/>
      <c r="R10" s="423"/>
      <c r="S10" s="360"/>
      <c r="T10" s="124">
        <f>(2/5)*100</f>
        <v>40</v>
      </c>
      <c r="U10" s="433"/>
      <c r="V10" s="430"/>
    </row>
    <row r="11" spans="1:22" x14ac:dyDescent="0.2">
      <c r="A11" s="194" t="s">
        <v>6</v>
      </c>
      <c r="B11" s="204" t="s">
        <v>13</v>
      </c>
      <c r="C11" s="195" t="s">
        <v>48</v>
      </c>
      <c r="D11" s="196">
        <v>40</v>
      </c>
      <c r="E11" s="197">
        <v>30400</v>
      </c>
      <c r="F11" s="198">
        <v>3704</v>
      </c>
      <c r="G11" s="199">
        <v>13</v>
      </c>
      <c r="H11" s="426"/>
      <c r="I11" s="230">
        <v>5.7071660748842987</v>
      </c>
      <c r="J11" s="230">
        <v>4.9646994942302909</v>
      </c>
      <c r="K11" s="230" t="s">
        <v>73</v>
      </c>
      <c r="L11" s="230">
        <v>4.6436261986898746</v>
      </c>
      <c r="M11" s="230">
        <v>4.3141373534271592</v>
      </c>
      <c r="N11" s="230">
        <v>4.1596248072834827</v>
      </c>
      <c r="O11" s="231"/>
      <c r="P11" s="225">
        <v>4.7578509999999996</v>
      </c>
      <c r="Q11" s="435"/>
      <c r="R11" s="423"/>
      <c r="S11" s="361"/>
      <c r="T11" s="124">
        <f>(1/5)*100</f>
        <v>20</v>
      </c>
      <c r="U11" s="434"/>
      <c r="V11" s="431"/>
    </row>
    <row r="12" spans="1:22" x14ac:dyDescent="0.2">
      <c r="A12" s="183" t="s">
        <v>6</v>
      </c>
      <c r="B12" s="205" t="s">
        <v>50</v>
      </c>
      <c r="C12" s="205" t="s">
        <v>51</v>
      </c>
      <c r="D12" s="185">
        <v>53</v>
      </c>
      <c r="E12" s="186">
        <v>10530</v>
      </c>
      <c r="F12" s="187">
        <v>500</v>
      </c>
      <c r="G12" s="200">
        <v>6.5</v>
      </c>
      <c r="H12" s="424" t="s">
        <v>83</v>
      </c>
      <c r="I12" s="230">
        <v>5.079625876216407</v>
      </c>
      <c r="J12" s="230">
        <v>5.1811657201602301</v>
      </c>
      <c r="K12" s="230">
        <v>5.6065385869081634</v>
      </c>
      <c r="L12" s="230">
        <v>4.0893657547851632</v>
      </c>
      <c r="M12" s="230">
        <v>2.6302373183383301</v>
      </c>
      <c r="N12" s="230">
        <v>3.519887614736513</v>
      </c>
      <c r="O12" s="231"/>
      <c r="P12" s="225">
        <v>4.3511369999999996</v>
      </c>
      <c r="Q12" s="435">
        <v>4.571828</v>
      </c>
      <c r="R12" s="423">
        <v>4.7159430000000002</v>
      </c>
      <c r="S12" s="359">
        <v>5</v>
      </c>
      <c r="T12" s="124">
        <f>(3/6)*100</f>
        <v>50</v>
      </c>
      <c r="U12" s="432">
        <f>(5/18)*100</f>
        <v>27.777777777777779</v>
      </c>
      <c r="V12" s="429">
        <f>(12/35)*100</f>
        <v>34.285714285714285</v>
      </c>
    </row>
    <row r="13" spans="1:22" x14ac:dyDescent="0.2">
      <c r="A13" s="189" t="s">
        <v>6</v>
      </c>
      <c r="B13" s="206" t="s">
        <v>50</v>
      </c>
      <c r="C13" s="206" t="s">
        <v>51</v>
      </c>
      <c r="D13" s="191">
        <v>53</v>
      </c>
      <c r="E13" s="192">
        <v>20530</v>
      </c>
      <c r="F13" s="181">
        <v>926</v>
      </c>
      <c r="G13" s="201">
        <v>7</v>
      </c>
      <c r="H13" s="425"/>
      <c r="I13" s="230">
        <v>4.831287211318716</v>
      </c>
      <c r="J13" s="230">
        <v>4.903767141372299</v>
      </c>
      <c r="K13" s="230">
        <v>5.3765452165806487</v>
      </c>
      <c r="L13" s="230">
        <v>4.4452048415209218</v>
      </c>
      <c r="M13" s="230">
        <v>4.1632793060909465</v>
      </c>
      <c r="N13" s="230">
        <v>4.2086241774205035</v>
      </c>
      <c r="O13" s="231"/>
      <c r="P13" s="225">
        <v>4.6547850000000004</v>
      </c>
      <c r="Q13" s="435"/>
      <c r="R13" s="423"/>
      <c r="S13" s="360"/>
      <c r="T13" s="124">
        <f>(1/6)*100</f>
        <v>16.666666666666664</v>
      </c>
      <c r="U13" s="433"/>
      <c r="V13" s="430"/>
    </row>
    <row r="14" spans="1:22" x14ac:dyDescent="0.2">
      <c r="A14" s="194" t="s">
        <v>6</v>
      </c>
      <c r="B14" s="207" t="s">
        <v>50</v>
      </c>
      <c r="C14" s="207" t="s">
        <v>51</v>
      </c>
      <c r="D14" s="196">
        <v>53</v>
      </c>
      <c r="E14" s="197">
        <v>30530</v>
      </c>
      <c r="F14" s="198">
        <v>3704</v>
      </c>
      <c r="G14" s="199">
        <v>14</v>
      </c>
      <c r="H14" s="425"/>
      <c r="I14" s="230">
        <v>4.6080164471516207</v>
      </c>
      <c r="J14" s="230">
        <v>4.9255316368224653</v>
      </c>
      <c r="K14" s="230">
        <v>6.2163890464935552</v>
      </c>
      <c r="L14" s="230">
        <v>4.4907963658053731</v>
      </c>
      <c r="M14" s="230">
        <v>4.0084450558603706</v>
      </c>
      <c r="N14" s="230">
        <v>4.0081991152398233</v>
      </c>
      <c r="O14" s="231"/>
      <c r="P14" s="225">
        <v>4.7095630000000002</v>
      </c>
      <c r="Q14" s="435"/>
      <c r="R14" s="423"/>
      <c r="S14" s="360"/>
      <c r="T14" s="124">
        <f>(1/6)*100</f>
        <v>16.666666666666664</v>
      </c>
      <c r="U14" s="434"/>
      <c r="V14" s="430"/>
    </row>
    <row r="15" spans="1:22" x14ac:dyDescent="0.2">
      <c r="A15" s="183" t="s">
        <v>6</v>
      </c>
      <c r="B15" s="205" t="s">
        <v>49</v>
      </c>
      <c r="C15" s="205" t="s">
        <v>52</v>
      </c>
      <c r="D15" s="185">
        <v>56</v>
      </c>
      <c r="E15" s="186">
        <v>10560</v>
      </c>
      <c r="F15" s="187">
        <v>500</v>
      </c>
      <c r="G15" s="200">
        <v>3.5</v>
      </c>
      <c r="H15" s="425"/>
      <c r="I15" s="221">
        <v>5.3320138345872028</v>
      </c>
      <c r="J15" s="221">
        <v>5.9818241250408457</v>
      </c>
      <c r="K15" s="221">
        <v>5.5935827268473419</v>
      </c>
      <c r="L15" s="221">
        <v>4.5914135841485519</v>
      </c>
      <c r="M15" s="221">
        <v>4.2178565217017097</v>
      </c>
      <c r="N15" s="142"/>
      <c r="O15" s="221">
        <v>4.0321764919670429</v>
      </c>
      <c r="P15" s="225">
        <v>4.958145</v>
      </c>
      <c r="Q15" s="435">
        <v>4.8685359999999998</v>
      </c>
      <c r="R15" s="423"/>
      <c r="S15" s="360"/>
      <c r="T15" s="124">
        <f>(3/6)*100</f>
        <v>50</v>
      </c>
      <c r="U15" s="432">
        <f>(7/17)*100</f>
        <v>41.17647058823529</v>
      </c>
      <c r="V15" s="430"/>
    </row>
    <row r="16" spans="1:22" x14ac:dyDescent="0.2">
      <c r="A16" s="189" t="s">
        <v>6</v>
      </c>
      <c r="B16" s="206" t="s">
        <v>49</v>
      </c>
      <c r="C16" s="206" t="s">
        <v>52</v>
      </c>
      <c r="D16" s="191">
        <v>56</v>
      </c>
      <c r="E16" s="181">
        <v>20560</v>
      </c>
      <c r="F16" s="181">
        <v>926</v>
      </c>
      <c r="G16" s="201">
        <v>5</v>
      </c>
      <c r="H16" s="425"/>
      <c r="I16" s="221">
        <v>4.5121223378775035</v>
      </c>
      <c r="J16" s="221">
        <v>4.5385352276958892</v>
      </c>
      <c r="K16" s="221" t="s">
        <v>73</v>
      </c>
      <c r="L16" s="221">
        <v>4.3386961496561183</v>
      </c>
      <c r="M16" s="221">
        <v>4.2123445746904844</v>
      </c>
      <c r="N16" s="142"/>
      <c r="O16" s="221">
        <v>3.8289942420940588</v>
      </c>
      <c r="P16" s="225">
        <v>4.2861390000000004</v>
      </c>
      <c r="Q16" s="435"/>
      <c r="R16" s="423"/>
      <c r="S16" s="360"/>
      <c r="T16" s="124">
        <f>(0/5)*100</f>
        <v>0</v>
      </c>
      <c r="U16" s="433"/>
      <c r="V16" s="430"/>
    </row>
    <row r="17" spans="1:22" x14ac:dyDescent="0.2">
      <c r="A17" s="194" t="s">
        <v>6</v>
      </c>
      <c r="B17" s="207" t="s">
        <v>49</v>
      </c>
      <c r="C17" s="207" t="s">
        <v>52</v>
      </c>
      <c r="D17" s="196">
        <v>56</v>
      </c>
      <c r="E17" s="198">
        <v>30560</v>
      </c>
      <c r="F17" s="198">
        <v>3704</v>
      </c>
      <c r="G17" s="199">
        <v>16</v>
      </c>
      <c r="H17" s="426"/>
      <c r="I17" s="221">
        <v>4.9732202860709496</v>
      </c>
      <c r="J17" s="221">
        <v>5.7491947895069009</v>
      </c>
      <c r="K17" s="221">
        <v>6.04638058303909</v>
      </c>
      <c r="L17" s="221">
        <v>5.5724528423114927</v>
      </c>
      <c r="M17" s="221">
        <v>5.2504034321327762</v>
      </c>
      <c r="N17" s="142"/>
      <c r="O17" s="221">
        <v>3.9938955062443213</v>
      </c>
      <c r="P17" s="226">
        <v>5.2642579999999999</v>
      </c>
      <c r="Q17" s="435"/>
      <c r="R17" s="423"/>
      <c r="S17" s="361"/>
      <c r="T17" s="124">
        <f>(4/6)*100</f>
        <v>66.666666666666657</v>
      </c>
      <c r="U17" s="434"/>
      <c r="V17" s="431"/>
    </row>
    <row r="18" spans="1:22" x14ac:dyDescent="0.2">
      <c r="A18" s="183" t="s">
        <v>6</v>
      </c>
      <c r="B18" s="205" t="s">
        <v>16</v>
      </c>
      <c r="C18" s="205" t="s">
        <v>53</v>
      </c>
      <c r="D18" s="185">
        <v>64</v>
      </c>
      <c r="E18" s="187">
        <v>10640</v>
      </c>
      <c r="F18" s="187">
        <v>500</v>
      </c>
      <c r="G18" s="200">
        <v>6</v>
      </c>
      <c r="H18" s="424" t="s">
        <v>88</v>
      </c>
      <c r="I18" s="230">
        <v>5.2685780406459077</v>
      </c>
      <c r="J18" s="230">
        <v>6.4896279262764835</v>
      </c>
      <c r="K18" s="230">
        <v>6.4809795050941768</v>
      </c>
      <c r="L18" s="230">
        <v>5.1475286071104653</v>
      </c>
      <c r="M18" s="230">
        <v>4.9791327772426976</v>
      </c>
      <c r="N18" s="231"/>
      <c r="O18" s="230">
        <v>4.6389828187664461</v>
      </c>
      <c r="P18" s="226">
        <v>5.5008049999999997</v>
      </c>
      <c r="Q18" s="436">
        <v>5.6510230000000004</v>
      </c>
      <c r="R18" s="356">
        <v>5.6976639999999996</v>
      </c>
      <c r="S18" s="359">
        <v>5</v>
      </c>
      <c r="T18" s="124">
        <f>(4/6)*100</f>
        <v>66.666666666666657</v>
      </c>
      <c r="U18" s="432">
        <f>(14/18)*100</f>
        <v>77.777777777777786</v>
      </c>
      <c r="V18" s="429">
        <f>(25/32)*100</f>
        <v>78.125</v>
      </c>
    </row>
    <row r="19" spans="1:22" x14ac:dyDescent="0.2">
      <c r="A19" s="189" t="s">
        <v>6</v>
      </c>
      <c r="B19" s="206" t="s">
        <v>16</v>
      </c>
      <c r="C19" s="206" t="s">
        <v>53</v>
      </c>
      <c r="D19" s="191">
        <v>64</v>
      </c>
      <c r="E19" s="181">
        <v>20640</v>
      </c>
      <c r="F19" s="181">
        <v>926</v>
      </c>
      <c r="G19" s="201">
        <v>10</v>
      </c>
      <c r="H19" s="425"/>
      <c r="I19" s="230">
        <v>6.0774962681377485</v>
      </c>
      <c r="J19" s="230">
        <v>6.5311525577893095</v>
      </c>
      <c r="K19" s="230">
        <v>5.8567210002588173</v>
      </c>
      <c r="L19" s="230">
        <v>6.0859454483562567</v>
      </c>
      <c r="M19" s="230">
        <v>5.2807396859204028</v>
      </c>
      <c r="N19" s="231"/>
      <c r="O19" s="230">
        <v>4.7749751497842166</v>
      </c>
      <c r="P19" s="226">
        <v>5.7678380000000002</v>
      </c>
      <c r="Q19" s="436"/>
      <c r="R19" s="356"/>
      <c r="S19" s="360"/>
      <c r="T19" s="124">
        <f>(5/6)*100</f>
        <v>83.333333333333343</v>
      </c>
      <c r="U19" s="433"/>
      <c r="V19" s="430"/>
    </row>
    <row r="20" spans="1:22" x14ac:dyDescent="0.2">
      <c r="A20" s="194" t="s">
        <v>6</v>
      </c>
      <c r="B20" s="207" t="s">
        <v>16</v>
      </c>
      <c r="C20" s="207" t="s">
        <v>53</v>
      </c>
      <c r="D20" s="196">
        <v>64</v>
      </c>
      <c r="E20" s="198">
        <v>30640</v>
      </c>
      <c r="F20" s="198">
        <v>3704</v>
      </c>
      <c r="G20" s="199">
        <v>19</v>
      </c>
      <c r="H20" s="425"/>
      <c r="I20" s="230">
        <v>5.9461965544072228</v>
      </c>
      <c r="J20" s="230">
        <v>5.991828912399102</v>
      </c>
      <c r="K20" s="230">
        <v>6.4668461940982027</v>
      </c>
      <c r="L20" s="230">
        <v>5.2830651891691849</v>
      </c>
      <c r="M20" s="230">
        <v>5.5745086940514845</v>
      </c>
      <c r="N20" s="231"/>
      <c r="O20" s="230">
        <v>4.8441028592554227</v>
      </c>
      <c r="P20" s="226">
        <v>5.6844250000000001</v>
      </c>
      <c r="Q20" s="436"/>
      <c r="R20" s="356"/>
      <c r="S20" s="360"/>
      <c r="T20" s="124">
        <f>(5/6)*100</f>
        <v>83.333333333333343</v>
      </c>
      <c r="U20" s="434"/>
      <c r="V20" s="430"/>
    </row>
    <row r="21" spans="1:22" x14ac:dyDescent="0.2">
      <c r="A21" s="183" t="s">
        <v>19</v>
      </c>
      <c r="B21" s="205" t="s">
        <v>20</v>
      </c>
      <c r="C21" s="205" t="s">
        <v>54</v>
      </c>
      <c r="D21" s="185">
        <v>72</v>
      </c>
      <c r="E21" s="187">
        <v>10720</v>
      </c>
      <c r="F21" s="187">
        <v>500</v>
      </c>
      <c r="G21" s="200">
        <v>3</v>
      </c>
      <c r="H21" s="425"/>
      <c r="I21" s="221">
        <v>6.5518303524158679</v>
      </c>
      <c r="J21" s="221">
        <v>6.7153877541629887</v>
      </c>
      <c r="K21" s="221">
        <v>5.7018167869666563</v>
      </c>
      <c r="L21" s="221" t="s">
        <v>73</v>
      </c>
      <c r="M21" s="221">
        <v>5.9018505357626703</v>
      </c>
      <c r="N21" s="142"/>
      <c r="O21" s="221">
        <v>4.7259379763930793</v>
      </c>
      <c r="P21" s="226">
        <v>5.9193639999999998</v>
      </c>
      <c r="Q21" s="436">
        <v>5.7576309999999999</v>
      </c>
      <c r="R21" s="356"/>
      <c r="S21" s="360"/>
      <c r="T21" s="124">
        <f>(4/5)*100</f>
        <v>80</v>
      </c>
      <c r="U21" s="432">
        <f>(11/14)*100</f>
        <v>78.571428571428569</v>
      </c>
      <c r="V21" s="430"/>
    </row>
    <row r="22" spans="1:22" x14ac:dyDescent="0.2">
      <c r="A22" s="189" t="s">
        <v>19</v>
      </c>
      <c r="B22" s="206" t="s">
        <v>20</v>
      </c>
      <c r="C22" s="206" t="s">
        <v>54</v>
      </c>
      <c r="D22" s="191">
        <v>72</v>
      </c>
      <c r="E22" s="181">
        <v>20720</v>
      </c>
      <c r="F22" s="181">
        <v>926</v>
      </c>
      <c r="G22" s="201">
        <v>6</v>
      </c>
      <c r="H22" s="425"/>
      <c r="I22" s="221">
        <v>5.5602157184284087</v>
      </c>
      <c r="J22" s="221">
        <v>7.1493355352460242</v>
      </c>
      <c r="K22" s="221" t="s">
        <v>73</v>
      </c>
      <c r="L22" s="221" t="s">
        <v>73</v>
      </c>
      <c r="M22" s="221">
        <v>5.7121900915292692</v>
      </c>
      <c r="N22" s="142"/>
      <c r="O22" s="221">
        <v>4.38919998022123</v>
      </c>
      <c r="P22" s="226">
        <v>5.7027349999999997</v>
      </c>
      <c r="Q22" s="436"/>
      <c r="R22" s="356"/>
      <c r="S22" s="360"/>
      <c r="T22" s="124">
        <f>(3/4)*100</f>
        <v>75</v>
      </c>
      <c r="U22" s="433"/>
      <c r="V22" s="430"/>
    </row>
    <row r="23" spans="1:22" x14ac:dyDescent="0.2">
      <c r="A23" s="194" t="s">
        <v>19</v>
      </c>
      <c r="B23" s="207" t="s">
        <v>20</v>
      </c>
      <c r="C23" s="207" t="s">
        <v>54</v>
      </c>
      <c r="D23" s="196">
        <v>72</v>
      </c>
      <c r="E23" s="198">
        <v>30720</v>
      </c>
      <c r="F23" s="198">
        <v>3704</v>
      </c>
      <c r="G23" s="199">
        <v>14</v>
      </c>
      <c r="H23" s="426"/>
      <c r="I23" s="221">
        <v>5.8069875742465733</v>
      </c>
      <c r="J23" s="221">
        <v>6.8435043577166255</v>
      </c>
      <c r="K23" s="221">
        <v>5.7882281730259892</v>
      </c>
      <c r="L23" s="221" t="s">
        <v>73</v>
      </c>
      <c r="M23" s="221">
        <v>5.1522707216391579</v>
      </c>
      <c r="N23" s="142"/>
      <c r="O23" s="221">
        <v>4.6080850683254022</v>
      </c>
      <c r="P23" s="226">
        <v>5.6398149999999996</v>
      </c>
      <c r="Q23" s="436"/>
      <c r="R23" s="356"/>
      <c r="S23" s="361"/>
      <c r="T23" s="124">
        <f>(4/5)*100</f>
        <v>80</v>
      </c>
      <c r="U23" s="434"/>
      <c r="V23" s="431"/>
    </row>
    <row r="24" spans="1:22" x14ac:dyDescent="0.2">
      <c r="A24" s="183" t="s">
        <v>19</v>
      </c>
      <c r="B24" s="208" t="s">
        <v>24</v>
      </c>
      <c r="C24" s="208" t="s">
        <v>25</v>
      </c>
      <c r="D24" s="185">
        <v>601</v>
      </c>
      <c r="E24" s="209">
        <v>16010</v>
      </c>
      <c r="F24" s="187">
        <v>500</v>
      </c>
      <c r="G24" s="200">
        <v>6</v>
      </c>
      <c r="H24" s="424" t="s">
        <v>84</v>
      </c>
      <c r="I24" s="221">
        <v>7.0226942848361107</v>
      </c>
      <c r="J24" s="221">
        <v>7.2891214832723827</v>
      </c>
      <c r="K24" s="221" t="s">
        <v>73</v>
      </c>
      <c r="L24" s="221" t="s">
        <v>73</v>
      </c>
      <c r="M24" s="221">
        <v>6.7841809919765552</v>
      </c>
      <c r="N24" s="142"/>
      <c r="O24" s="221">
        <v>5.9503234738476634</v>
      </c>
      <c r="P24" s="227">
        <v>6.7615800000000004</v>
      </c>
      <c r="Q24" s="438">
        <v>6.5715700000000004</v>
      </c>
      <c r="R24" s="439">
        <v>6.4628389999999998</v>
      </c>
      <c r="S24" s="359">
        <v>5</v>
      </c>
      <c r="T24" s="124">
        <f>(4/4)*100</f>
        <v>100</v>
      </c>
      <c r="U24" s="432">
        <f>(14/14)*100</f>
        <v>100</v>
      </c>
      <c r="V24" s="429">
        <f>(26/28)*100</f>
        <v>92.857142857142861</v>
      </c>
    </row>
    <row r="25" spans="1:22" x14ac:dyDescent="0.2">
      <c r="A25" s="189" t="s">
        <v>19</v>
      </c>
      <c r="B25" s="182" t="s">
        <v>24</v>
      </c>
      <c r="C25" s="182" t="s">
        <v>25</v>
      </c>
      <c r="D25" s="191">
        <v>601</v>
      </c>
      <c r="E25" s="210">
        <v>26010</v>
      </c>
      <c r="F25" s="181">
        <v>926</v>
      </c>
      <c r="G25" s="201">
        <v>16</v>
      </c>
      <c r="H25" s="425"/>
      <c r="I25" s="221">
        <v>7.0164206680609515</v>
      </c>
      <c r="J25" s="221">
        <v>7.0450945799999998</v>
      </c>
      <c r="K25" s="221">
        <v>7.3561943202429827</v>
      </c>
      <c r="L25" s="221" t="s">
        <v>73</v>
      </c>
      <c r="M25" s="221">
        <v>6.904869991670596</v>
      </c>
      <c r="N25" s="142"/>
      <c r="O25" s="221">
        <v>5.8458351266872359</v>
      </c>
      <c r="P25" s="232">
        <v>6.8336829999999997</v>
      </c>
      <c r="Q25" s="438"/>
      <c r="R25" s="439"/>
      <c r="S25" s="360"/>
      <c r="T25" s="124">
        <f>(5/5)*100</f>
        <v>100</v>
      </c>
      <c r="U25" s="433"/>
      <c r="V25" s="430"/>
    </row>
    <row r="26" spans="1:22" x14ac:dyDescent="0.2">
      <c r="A26" s="194" t="s">
        <v>19</v>
      </c>
      <c r="B26" s="211" t="s">
        <v>24</v>
      </c>
      <c r="C26" s="211" t="s">
        <v>25</v>
      </c>
      <c r="D26" s="196">
        <v>601</v>
      </c>
      <c r="E26" s="212">
        <v>36010</v>
      </c>
      <c r="F26" s="198">
        <v>3704</v>
      </c>
      <c r="G26" s="199">
        <v>27</v>
      </c>
      <c r="H26" s="425"/>
      <c r="I26" s="221">
        <v>6.5537950206076836</v>
      </c>
      <c r="J26" s="221">
        <v>6.8368206865016301</v>
      </c>
      <c r="K26" s="221">
        <v>5.9323214823394128</v>
      </c>
      <c r="L26" s="221" t="s">
        <v>73</v>
      </c>
      <c r="M26" s="221">
        <v>5.8697338370224195</v>
      </c>
      <c r="N26" s="142"/>
      <c r="O26" s="221">
        <v>5.5945685873067603</v>
      </c>
      <c r="P26" s="227">
        <v>6.1574479999999996</v>
      </c>
      <c r="Q26" s="438"/>
      <c r="R26" s="439"/>
      <c r="S26" s="360"/>
      <c r="T26" s="124">
        <f>(5/5)*100</f>
        <v>100</v>
      </c>
      <c r="U26" s="434"/>
      <c r="V26" s="430"/>
    </row>
    <row r="27" spans="1:22" x14ac:dyDescent="0.2">
      <c r="A27" s="213" t="s">
        <v>19</v>
      </c>
      <c r="B27" s="208" t="s">
        <v>24</v>
      </c>
      <c r="C27" s="208" t="s">
        <v>78</v>
      </c>
      <c r="D27" s="185">
        <v>82</v>
      </c>
      <c r="E27" s="187">
        <v>10820</v>
      </c>
      <c r="F27" s="187">
        <v>500</v>
      </c>
      <c r="G27" s="200">
        <v>5</v>
      </c>
      <c r="H27" s="425"/>
      <c r="I27" s="221">
        <v>7.3821971607633881</v>
      </c>
      <c r="J27" s="221">
        <v>7.4840738260613584</v>
      </c>
      <c r="K27" s="221">
        <v>7.7332336349263411</v>
      </c>
      <c r="L27" s="221" t="s">
        <v>73</v>
      </c>
      <c r="M27" s="221">
        <v>4.0515776568477992</v>
      </c>
      <c r="N27" s="142"/>
      <c r="O27" s="221">
        <v>5.9525345727567469</v>
      </c>
      <c r="P27" s="227">
        <v>6.5207230000000003</v>
      </c>
      <c r="Q27" s="438">
        <v>6.3541080000000001</v>
      </c>
      <c r="R27" s="439"/>
      <c r="S27" s="360"/>
      <c r="T27" s="124">
        <f>(4/5)*100</f>
        <v>80</v>
      </c>
      <c r="U27" s="432">
        <f>(12/14)*100</f>
        <v>85.714285714285708</v>
      </c>
      <c r="V27" s="430"/>
    </row>
    <row r="28" spans="1:22" x14ac:dyDescent="0.2">
      <c r="A28" s="214" t="s">
        <v>19</v>
      </c>
      <c r="B28" s="182" t="s">
        <v>24</v>
      </c>
      <c r="C28" s="182" t="s">
        <v>78</v>
      </c>
      <c r="D28" s="191">
        <v>82</v>
      </c>
      <c r="E28" s="181">
        <v>20820</v>
      </c>
      <c r="F28" s="181">
        <v>926</v>
      </c>
      <c r="G28" s="201">
        <v>7</v>
      </c>
      <c r="H28" s="425"/>
      <c r="I28" s="221">
        <v>7.1809524165645806</v>
      </c>
      <c r="J28" s="221">
        <v>7.4040935964711059</v>
      </c>
      <c r="K28" s="221" t="s">
        <v>73</v>
      </c>
      <c r="L28" s="221" t="s">
        <v>73</v>
      </c>
      <c r="M28" s="221">
        <v>4.5795981168535089</v>
      </c>
      <c r="N28" s="142"/>
      <c r="O28" s="221">
        <v>6.0960784734201647</v>
      </c>
      <c r="P28" s="227">
        <v>6.3151809999999999</v>
      </c>
      <c r="Q28" s="438"/>
      <c r="R28" s="439"/>
      <c r="S28" s="360"/>
      <c r="T28" s="124">
        <f>(3/4)*100</f>
        <v>75</v>
      </c>
      <c r="U28" s="433"/>
      <c r="V28" s="430"/>
    </row>
    <row r="29" spans="1:22" x14ac:dyDescent="0.2">
      <c r="A29" s="215" t="s">
        <v>19</v>
      </c>
      <c r="B29" s="211" t="s">
        <v>24</v>
      </c>
      <c r="C29" s="211" t="s">
        <v>78</v>
      </c>
      <c r="D29" s="196">
        <v>82</v>
      </c>
      <c r="E29" s="198">
        <v>30820</v>
      </c>
      <c r="F29" s="198">
        <v>3704</v>
      </c>
      <c r="G29" s="199">
        <v>15</v>
      </c>
      <c r="H29" s="426"/>
      <c r="I29" s="221">
        <v>7.0782606743682841</v>
      </c>
      <c r="J29" s="221">
        <v>6.8115250839853427</v>
      </c>
      <c r="K29" s="221">
        <v>6.5754802956570382</v>
      </c>
      <c r="L29" s="221" t="s">
        <v>73</v>
      </c>
      <c r="M29" s="221">
        <v>5.2997471462674834</v>
      </c>
      <c r="N29" s="142"/>
      <c r="O29" s="221">
        <v>5.3281551586269273</v>
      </c>
      <c r="P29" s="227">
        <v>6.2186339999999998</v>
      </c>
      <c r="Q29" s="438"/>
      <c r="R29" s="439"/>
      <c r="S29" s="361"/>
      <c r="T29" s="124">
        <f>(5/5)*100</f>
        <v>100</v>
      </c>
      <c r="U29" s="434"/>
      <c r="V29" s="431"/>
    </row>
    <row r="30" spans="1:22" ht="15" x14ac:dyDescent="0.2">
      <c r="A30" s="216" t="s">
        <v>6</v>
      </c>
      <c r="B30" s="161" t="s">
        <v>50</v>
      </c>
      <c r="C30" s="161" t="s">
        <v>106</v>
      </c>
      <c r="D30" s="217"/>
      <c r="E30" s="158">
        <v>40530</v>
      </c>
      <c r="F30" s="218">
        <v>8334</v>
      </c>
      <c r="G30" s="219">
        <v>18</v>
      </c>
      <c r="H30" s="222" t="s">
        <v>104</v>
      </c>
      <c r="I30" s="221">
        <v>5.4117793429309335</v>
      </c>
      <c r="J30" s="221">
        <v>5.2763586813200201</v>
      </c>
      <c r="K30" s="221">
        <v>5.5441270177870559</v>
      </c>
      <c r="L30" s="221">
        <v>4.1247037735514391</v>
      </c>
      <c r="M30" s="221">
        <v>3.9801556359955135</v>
      </c>
      <c r="N30" s="221">
        <v>3.5073710360290278</v>
      </c>
      <c r="O30" s="142"/>
      <c r="P30" s="225">
        <v>4.6407489999999996</v>
      </c>
      <c r="Q30" s="228">
        <v>4.6407489999999996</v>
      </c>
      <c r="R30" s="228">
        <v>4.6407489999999996</v>
      </c>
      <c r="S30" s="172">
        <v>4.5</v>
      </c>
      <c r="T30" s="124">
        <f>(3/6)*100</f>
        <v>50</v>
      </c>
      <c r="U30" s="124">
        <f>(3/6)*100</f>
        <v>50</v>
      </c>
      <c r="V30" s="145">
        <f>(3/6)*100</f>
        <v>50</v>
      </c>
    </row>
    <row r="31" spans="1:22" ht="15" x14ac:dyDescent="0.2">
      <c r="A31" s="216" t="s">
        <v>19</v>
      </c>
      <c r="B31" s="161" t="s">
        <v>20</v>
      </c>
      <c r="C31" s="161" t="s">
        <v>54</v>
      </c>
      <c r="D31" s="217"/>
      <c r="E31" s="218">
        <v>40720</v>
      </c>
      <c r="F31" s="218">
        <v>7233</v>
      </c>
      <c r="G31" s="219">
        <v>21</v>
      </c>
      <c r="H31" s="223" t="s">
        <v>105</v>
      </c>
      <c r="I31" s="221">
        <v>6.021921749633389</v>
      </c>
      <c r="J31" s="221">
        <v>6.8026335218155154</v>
      </c>
      <c r="K31" s="221">
        <v>5.4230115079019283</v>
      </c>
      <c r="L31" s="221" t="s">
        <v>73</v>
      </c>
      <c r="M31" s="221">
        <v>4.9631963457105766</v>
      </c>
      <c r="N31" s="142"/>
      <c r="O31" s="221">
        <v>4.8261057947227854</v>
      </c>
      <c r="P31" s="226">
        <v>5.6073740000000001</v>
      </c>
      <c r="Q31" s="229">
        <v>5.6073740000000001</v>
      </c>
      <c r="R31" s="229">
        <v>5.6073740000000001</v>
      </c>
      <c r="S31" s="172">
        <v>4.5</v>
      </c>
      <c r="T31" s="124">
        <f>(3/5)*100</f>
        <v>60</v>
      </c>
      <c r="U31" s="124">
        <f>(5/5)*100</f>
        <v>100</v>
      </c>
      <c r="V31" s="145">
        <f>(5/5)*100</f>
        <v>100</v>
      </c>
    </row>
    <row r="33" spans="2:18" x14ac:dyDescent="0.2">
      <c r="B33" s="220"/>
      <c r="D33" s="191"/>
    </row>
    <row r="34" spans="2:18" x14ac:dyDescent="0.2">
      <c r="B34" s="220"/>
      <c r="D34" s="191"/>
      <c r="R34" s="224"/>
    </row>
    <row r="35" spans="2:18" x14ac:dyDescent="0.2">
      <c r="B35" s="220"/>
      <c r="D35" s="191"/>
      <c r="R35" s="224"/>
    </row>
    <row r="36" spans="2:18" x14ac:dyDescent="0.2">
      <c r="B36" s="220"/>
      <c r="D36" s="191"/>
      <c r="R36" s="224"/>
    </row>
    <row r="37" spans="2:18" x14ac:dyDescent="0.2">
      <c r="B37" s="220"/>
      <c r="D37" s="191"/>
      <c r="R37" s="224"/>
    </row>
    <row r="38" spans="2:18" x14ac:dyDescent="0.2">
      <c r="B38" s="220"/>
      <c r="D38" s="191"/>
      <c r="R38" s="224"/>
    </row>
    <row r="39" spans="2:18" x14ac:dyDescent="0.2">
      <c r="R39" s="224"/>
    </row>
  </sheetData>
  <mergeCells count="36">
    <mergeCell ref="V24:V29"/>
    <mergeCell ref="Q24:Q26"/>
    <mergeCell ref="R24:R29"/>
    <mergeCell ref="Q27:Q29"/>
    <mergeCell ref="R3:R11"/>
    <mergeCell ref="S3:S11"/>
    <mergeCell ref="S12:S17"/>
    <mergeCell ref="S18:S23"/>
    <mergeCell ref="U6:U8"/>
    <mergeCell ref="U9:U11"/>
    <mergeCell ref="U12:U14"/>
    <mergeCell ref="U15:U17"/>
    <mergeCell ref="S24:S29"/>
    <mergeCell ref="U24:U26"/>
    <mergeCell ref="U27:U29"/>
    <mergeCell ref="U18:U20"/>
    <mergeCell ref="H3:H11"/>
    <mergeCell ref="H12:H17"/>
    <mergeCell ref="H18:H23"/>
    <mergeCell ref="H24:H29"/>
    <mergeCell ref="Q3:Q5"/>
    <mergeCell ref="Q6:Q8"/>
    <mergeCell ref="P1:R1"/>
    <mergeCell ref="T1:V1"/>
    <mergeCell ref="Q15:Q17"/>
    <mergeCell ref="Q18:Q20"/>
    <mergeCell ref="R18:R23"/>
    <mergeCell ref="Q21:Q23"/>
    <mergeCell ref="Q9:Q11"/>
    <mergeCell ref="Q12:Q14"/>
    <mergeCell ref="R12:R17"/>
    <mergeCell ref="U3:U5"/>
    <mergeCell ref="V3:V11"/>
    <mergeCell ref="V12:V17"/>
    <mergeCell ref="V18:V23"/>
    <mergeCell ref="U21:U23"/>
  </mergeCells>
  <phoneticPr fontId="0" type="noConversion"/>
  <pageMargins left="0.7" right="0.7" top="0.75" bottom="0.75"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39"/>
  <sheetViews>
    <sheetView topLeftCell="G1" zoomScale="85" zoomScaleNormal="85" workbookViewId="0">
      <pane ySplit="2" topLeftCell="A6" activePane="bottomLeft" state="frozen"/>
      <selection activeCell="D1" sqref="D1"/>
      <selection pane="bottomLeft" activeCell="Q2" sqref="Q2"/>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customWidth="1"/>
    <col min="14" max="15" width="11" customWidth="1"/>
    <col min="16" max="16" width="10.5703125" customWidth="1"/>
    <col min="17" max="17" width="10.85546875" customWidth="1"/>
    <col min="18" max="19" width="11.28515625" customWidth="1"/>
    <col min="20" max="20" width="12.28515625" customWidth="1"/>
    <col min="21" max="21" width="13.85546875" style="171" customWidth="1"/>
    <col min="22" max="23" width="13" customWidth="1"/>
    <col min="24" max="24" width="14.7109375" customWidth="1"/>
  </cols>
  <sheetData>
    <row r="1" spans="1:24" ht="51" customHeight="1" x14ac:dyDescent="0.2">
      <c r="R1" s="371" t="s">
        <v>90</v>
      </c>
      <c r="S1" s="371"/>
      <c r="T1" s="371"/>
      <c r="U1" s="170"/>
      <c r="V1" s="371" t="s">
        <v>94</v>
      </c>
      <c r="W1" s="371"/>
      <c r="X1" s="371"/>
    </row>
    <row r="2" spans="1:24" ht="51" x14ac:dyDescent="0.2">
      <c r="A2" s="74" t="s">
        <v>0</v>
      </c>
      <c r="B2" s="75" t="s">
        <v>1</v>
      </c>
      <c r="C2" s="74" t="s">
        <v>2</v>
      </c>
      <c r="D2" s="25" t="s">
        <v>89</v>
      </c>
      <c r="E2" s="74" t="s">
        <v>81</v>
      </c>
      <c r="F2" s="74" t="s">
        <v>4</v>
      </c>
      <c r="G2" s="74" t="s">
        <v>5</v>
      </c>
      <c r="H2" s="1" t="s">
        <v>85</v>
      </c>
      <c r="I2" s="25" t="s">
        <v>30</v>
      </c>
      <c r="J2" s="25" t="s">
        <v>31</v>
      </c>
      <c r="K2" s="25" t="s">
        <v>132</v>
      </c>
      <c r="L2" s="25" t="s">
        <v>77</v>
      </c>
      <c r="M2" s="25" t="s">
        <v>75</v>
      </c>
      <c r="N2" s="25" t="s">
        <v>74</v>
      </c>
      <c r="O2" s="25" t="s">
        <v>42</v>
      </c>
      <c r="P2" s="25" t="s">
        <v>43</v>
      </c>
      <c r="Q2" s="25" t="s">
        <v>44</v>
      </c>
      <c r="R2" s="25" t="s">
        <v>71</v>
      </c>
      <c r="S2" s="26" t="s">
        <v>72</v>
      </c>
      <c r="T2" s="26" t="s">
        <v>80</v>
      </c>
      <c r="U2" s="26" t="s">
        <v>107</v>
      </c>
      <c r="V2" s="146" t="s">
        <v>91</v>
      </c>
      <c r="W2" s="146" t="s">
        <v>92</v>
      </c>
      <c r="X2" s="146" t="s">
        <v>93</v>
      </c>
    </row>
    <row r="3" spans="1:24" x14ac:dyDescent="0.2">
      <c r="A3" s="183" t="s">
        <v>6</v>
      </c>
      <c r="B3" s="184" t="s">
        <v>9</v>
      </c>
      <c r="C3" s="184" t="s">
        <v>46</v>
      </c>
      <c r="D3" s="185">
        <v>8</v>
      </c>
      <c r="E3" s="186">
        <v>10080</v>
      </c>
      <c r="F3" s="187">
        <v>500</v>
      </c>
      <c r="G3" s="188">
        <v>3</v>
      </c>
      <c r="H3" s="424" t="s">
        <v>82</v>
      </c>
      <c r="I3" s="233">
        <v>4.7394603717875965</v>
      </c>
      <c r="J3" s="234"/>
      <c r="K3" s="233">
        <v>4.0028314527230382</v>
      </c>
      <c r="L3" s="233">
        <v>5.2135868975521147</v>
      </c>
      <c r="M3" s="233">
        <v>4.6520601023618058</v>
      </c>
      <c r="N3" s="233">
        <v>4.4506719984989802</v>
      </c>
      <c r="O3" s="233"/>
      <c r="P3" s="233">
        <v>5.3451953341699303</v>
      </c>
      <c r="Q3" s="230"/>
      <c r="R3" s="236">
        <v>4.733968</v>
      </c>
      <c r="S3" s="442">
        <v>4.7063230000000003</v>
      </c>
      <c r="T3" s="446">
        <v>4.7705529999999996</v>
      </c>
      <c r="U3" s="359">
        <v>5</v>
      </c>
      <c r="V3" s="124">
        <f>(2/6)*100</f>
        <v>33.333333333333329</v>
      </c>
      <c r="W3" s="432">
        <f>(3/17)*100</f>
        <v>17.647058823529413</v>
      </c>
      <c r="X3" s="429">
        <f>(21/53)*100</f>
        <v>39.622641509433961</v>
      </c>
    </row>
    <row r="4" spans="1:24" x14ac:dyDescent="0.2">
      <c r="A4" s="189" t="s">
        <v>6</v>
      </c>
      <c r="B4" s="190" t="s">
        <v>9</v>
      </c>
      <c r="C4" s="190" t="s">
        <v>46</v>
      </c>
      <c r="D4" s="191">
        <v>8</v>
      </c>
      <c r="E4" s="192">
        <v>20080</v>
      </c>
      <c r="F4" s="181">
        <v>926</v>
      </c>
      <c r="G4" s="193">
        <v>6</v>
      </c>
      <c r="H4" s="425"/>
      <c r="I4" s="233">
        <v>4.3264896955895162</v>
      </c>
      <c r="J4" s="234"/>
      <c r="K4" s="233">
        <v>4.599402982535409</v>
      </c>
      <c r="L4" s="233">
        <v>5.374917666471001</v>
      </c>
      <c r="M4" s="233">
        <v>4.6460451351610903</v>
      </c>
      <c r="N4" s="233"/>
      <c r="O4" s="233"/>
      <c r="P4" s="233">
        <v>4.7530268383685206</v>
      </c>
      <c r="Q4" s="230"/>
      <c r="R4" s="236">
        <v>4.7399760000000004</v>
      </c>
      <c r="S4" s="443"/>
      <c r="T4" s="423"/>
      <c r="U4" s="360"/>
      <c r="V4" s="124">
        <f>(1/5)*100</f>
        <v>20</v>
      </c>
      <c r="W4" s="433"/>
      <c r="X4" s="430"/>
    </row>
    <row r="5" spans="1:24" x14ac:dyDescent="0.2">
      <c r="A5" s="194" t="s">
        <v>6</v>
      </c>
      <c r="B5" s="195" t="s">
        <v>9</v>
      </c>
      <c r="C5" s="195" t="s">
        <v>46</v>
      </c>
      <c r="D5" s="196">
        <v>8</v>
      </c>
      <c r="E5" s="197">
        <v>30080</v>
      </c>
      <c r="F5" s="198">
        <v>3704</v>
      </c>
      <c r="G5" s="199">
        <v>13</v>
      </c>
      <c r="H5" s="425"/>
      <c r="I5" s="233">
        <v>4.2941374514115518</v>
      </c>
      <c r="J5" s="234"/>
      <c r="K5" s="233">
        <v>4.6514352980088134</v>
      </c>
      <c r="L5" s="233">
        <v>4.884689269731731</v>
      </c>
      <c r="M5" s="233">
        <v>4.4306549940038709</v>
      </c>
      <c r="N5" s="233">
        <v>4.8391331759157232</v>
      </c>
      <c r="O5" s="233"/>
      <c r="P5" s="233">
        <v>4.8037470921979004</v>
      </c>
      <c r="Q5" s="230"/>
      <c r="R5" s="236">
        <v>4.650633</v>
      </c>
      <c r="S5" s="443"/>
      <c r="T5" s="423"/>
      <c r="U5" s="360"/>
      <c r="V5" s="124">
        <f>(0/6)*100</f>
        <v>0</v>
      </c>
      <c r="W5" s="434"/>
      <c r="X5" s="430"/>
    </row>
    <row r="6" spans="1:24" x14ac:dyDescent="0.2">
      <c r="A6" s="183" t="s">
        <v>6</v>
      </c>
      <c r="B6" s="184" t="s">
        <v>12</v>
      </c>
      <c r="C6" s="184" t="s">
        <v>47</v>
      </c>
      <c r="D6" s="185">
        <v>24</v>
      </c>
      <c r="E6" s="186">
        <v>10240</v>
      </c>
      <c r="F6" s="187">
        <v>500</v>
      </c>
      <c r="G6" s="200">
        <v>4</v>
      </c>
      <c r="H6" s="425"/>
      <c r="I6" s="233">
        <v>4.1986124903004978</v>
      </c>
      <c r="J6" s="234"/>
      <c r="K6" s="233">
        <v>3.8136914183249182</v>
      </c>
      <c r="L6" s="233">
        <v>5.2860799085514234</v>
      </c>
      <c r="M6" s="233">
        <v>5.2302318234091691</v>
      </c>
      <c r="N6" s="233">
        <v>5.080257193600878</v>
      </c>
      <c r="O6" s="230"/>
      <c r="P6" s="233">
        <v>5.5977872981179306</v>
      </c>
      <c r="Q6" s="230"/>
      <c r="R6" s="236">
        <v>4.8677770000000002</v>
      </c>
      <c r="S6" s="442">
        <v>4.8860239999999999</v>
      </c>
      <c r="T6" s="423"/>
      <c r="U6" s="360"/>
      <c r="V6" s="124">
        <f>(4/6)*100</f>
        <v>66.666666666666657</v>
      </c>
      <c r="W6" s="432">
        <f>(10/18)*100</f>
        <v>55.555555555555557</v>
      </c>
      <c r="X6" s="430"/>
    </row>
    <row r="7" spans="1:24" x14ac:dyDescent="0.2">
      <c r="A7" s="189" t="s">
        <v>6</v>
      </c>
      <c r="B7" s="190" t="s">
        <v>12</v>
      </c>
      <c r="C7" s="190" t="s">
        <v>47</v>
      </c>
      <c r="D7" s="191">
        <v>24</v>
      </c>
      <c r="E7" s="192">
        <v>20240</v>
      </c>
      <c r="F7" s="181">
        <v>926</v>
      </c>
      <c r="G7" s="201">
        <v>7</v>
      </c>
      <c r="H7" s="425"/>
      <c r="I7" s="233">
        <v>4.8663953452016484</v>
      </c>
      <c r="J7" s="234"/>
      <c r="K7" s="233">
        <v>4.3679082718352102</v>
      </c>
      <c r="L7" s="233">
        <v>5.0224788816828436</v>
      </c>
      <c r="M7" s="233">
        <v>5.0102731315106057</v>
      </c>
      <c r="N7" s="233">
        <v>4.9772534555424377</v>
      </c>
      <c r="O7" s="230"/>
      <c r="P7" s="233">
        <v>5.4018126734641037</v>
      </c>
      <c r="Q7" s="230"/>
      <c r="R7" s="236">
        <v>4.94102</v>
      </c>
      <c r="S7" s="443"/>
      <c r="T7" s="423"/>
      <c r="U7" s="360"/>
      <c r="V7" s="124">
        <f>(3/6)*100</f>
        <v>50</v>
      </c>
      <c r="W7" s="433"/>
      <c r="X7" s="430"/>
    </row>
    <row r="8" spans="1:24" x14ac:dyDescent="0.2">
      <c r="A8" s="194" t="s">
        <v>6</v>
      </c>
      <c r="B8" s="195" t="s">
        <v>12</v>
      </c>
      <c r="C8" s="195" t="s">
        <v>47</v>
      </c>
      <c r="D8" s="196">
        <v>24</v>
      </c>
      <c r="E8" s="197">
        <v>30240</v>
      </c>
      <c r="F8" s="198">
        <v>3704</v>
      </c>
      <c r="G8" s="199">
        <v>15</v>
      </c>
      <c r="H8" s="425"/>
      <c r="I8" s="233">
        <v>4.741129638812982</v>
      </c>
      <c r="J8" s="234"/>
      <c r="K8" s="233">
        <v>4.3721530713275625</v>
      </c>
      <c r="L8" s="233">
        <v>4.1792902455949479</v>
      </c>
      <c r="M8" s="233">
        <v>5.4127235750384974</v>
      </c>
      <c r="N8" s="233">
        <v>5.0172788611531063</v>
      </c>
      <c r="O8" s="230"/>
      <c r="P8" s="233">
        <v>5.3730630251552238</v>
      </c>
      <c r="Q8" s="235"/>
      <c r="R8" s="236">
        <v>4.8492730000000002</v>
      </c>
      <c r="S8" s="443"/>
      <c r="T8" s="423"/>
      <c r="U8" s="360"/>
      <c r="V8" s="124">
        <f>(3/6)*100</f>
        <v>50</v>
      </c>
      <c r="W8" s="434"/>
      <c r="X8" s="430"/>
    </row>
    <row r="9" spans="1:24" x14ac:dyDescent="0.2">
      <c r="A9" s="183" t="s">
        <v>6</v>
      </c>
      <c r="B9" s="202" t="s">
        <v>13</v>
      </c>
      <c r="C9" s="184" t="s">
        <v>48</v>
      </c>
      <c r="D9" s="185">
        <v>40</v>
      </c>
      <c r="E9" s="186">
        <v>10400</v>
      </c>
      <c r="F9" s="187">
        <v>500</v>
      </c>
      <c r="G9" s="200">
        <v>3</v>
      </c>
      <c r="H9" s="425"/>
      <c r="I9" s="233">
        <v>5.7742129101224178</v>
      </c>
      <c r="J9" s="234"/>
      <c r="K9" s="233">
        <v>3.9846052313687039</v>
      </c>
      <c r="L9" s="233">
        <v>4.3267474252126528</v>
      </c>
      <c r="M9" s="233">
        <v>5.1179459313977027</v>
      </c>
      <c r="N9" s="230"/>
      <c r="O9" s="233">
        <v>4.290003430400998</v>
      </c>
      <c r="P9" s="233">
        <v>5.4050202721982572</v>
      </c>
      <c r="Q9" s="235"/>
      <c r="R9" s="236">
        <v>4.8164220000000002</v>
      </c>
      <c r="S9" s="442">
        <v>4.7157439999999999</v>
      </c>
      <c r="T9" s="423"/>
      <c r="U9" s="360"/>
      <c r="V9" s="124">
        <f>(3/6)*100</f>
        <v>50</v>
      </c>
      <c r="W9" s="432">
        <f>(8/18)*100</f>
        <v>44.444444444444443</v>
      </c>
      <c r="X9" s="430"/>
    </row>
    <row r="10" spans="1:24" x14ac:dyDescent="0.2">
      <c r="A10" s="189" t="s">
        <v>6</v>
      </c>
      <c r="B10" s="203" t="s">
        <v>13</v>
      </c>
      <c r="C10" s="190" t="s">
        <v>48</v>
      </c>
      <c r="D10" s="191">
        <v>40</v>
      </c>
      <c r="E10" s="192">
        <v>20400</v>
      </c>
      <c r="F10" s="181">
        <v>926</v>
      </c>
      <c r="G10" s="201">
        <v>7</v>
      </c>
      <c r="H10" s="425"/>
      <c r="I10" s="233">
        <v>5.5539273843106765</v>
      </c>
      <c r="J10" s="234"/>
      <c r="K10" s="233">
        <v>4.2211120955529378</v>
      </c>
      <c r="L10" s="233">
        <v>4.39350978282706</v>
      </c>
      <c r="M10" s="233">
        <v>5.0654363907513122</v>
      </c>
      <c r="N10" s="230"/>
      <c r="O10" s="233">
        <v>4.7776121406905299</v>
      </c>
      <c r="P10" s="233">
        <v>5.2919095545774297</v>
      </c>
      <c r="Q10" s="235"/>
      <c r="R10" s="236">
        <v>4.8839180000000004</v>
      </c>
      <c r="S10" s="443"/>
      <c r="T10" s="423"/>
      <c r="U10" s="360"/>
      <c r="V10" s="124">
        <f>(3/6)*100</f>
        <v>50</v>
      </c>
      <c r="W10" s="433"/>
      <c r="X10" s="430"/>
    </row>
    <row r="11" spans="1:24" x14ac:dyDescent="0.2">
      <c r="A11" s="194" t="s">
        <v>6</v>
      </c>
      <c r="B11" s="204" t="s">
        <v>13</v>
      </c>
      <c r="C11" s="195" t="s">
        <v>48</v>
      </c>
      <c r="D11" s="196">
        <v>40</v>
      </c>
      <c r="E11" s="197">
        <v>30400</v>
      </c>
      <c r="F11" s="198">
        <v>3704</v>
      </c>
      <c r="G11" s="199">
        <v>13</v>
      </c>
      <c r="H11" s="426"/>
      <c r="I11" s="233">
        <v>5.2986545799939186</v>
      </c>
      <c r="J11" s="234"/>
      <c r="K11" s="233">
        <v>4.2302667571734798</v>
      </c>
      <c r="L11" s="233">
        <v>3.9529807230159495</v>
      </c>
      <c r="M11" s="233">
        <v>4.9251014387038898</v>
      </c>
      <c r="N11" s="230"/>
      <c r="O11" s="233">
        <v>2.7426855640896135</v>
      </c>
      <c r="P11" s="233">
        <v>5.531667382699907</v>
      </c>
      <c r="Q11" s="235"/>
      <c r="R11" s="236">
        <v>4.4468930000000002</v>
      </c>
      <c r="S11" s="443"/>
      <c r="T11" s="423"/>
      <c r="U11" s="361"/>
      <c r="V11" s="124">
        <f>(2/6)*100</f>
        <v>33.333333333333329</v>
      </c>
      <c r="W11" s="434"/>
      <c r="X11" s="431"/>
    </row>
    <row r="12" spans="1:24" x14ac:dyDescent="0.2">
      <c r="A12" s="183" t="s">
        <v>6</v>
      </c>
      <c r="B12" s="205" t="s">
        <v>50</v>
      </c>
      <c r="C12" s="205" t="s">
        <v>51</v>
      </c>
      <c r="D12" s="185">
        <v>53</v>
      </c>
      <c r="E12" s="186">
        <v>10530</v>
      </c>
      <c r="F12" s="187">
        <v>500</v>
      </c>
      <c r="G12" s="200">
        <v>6.5</v>
      </c>
      <c r="H12" s="424" t="s">
        <v>83</v>
      </c>
      <c r="I12" s="233">
        <v>4.5207906273117704</v>
      </c>
      <c r="J12" s="234"/>
      <c r="K12" s="233">
        <v>4.0811731030189726</v>
      </c>
      <c r="L12" s="233">
        <v>4.5594706423796971</v>
      </c>
      <c r="M12" s="233">
        <v>4.2497491378368935</v>
      </c>
      <c r="N12" s="233">
        <v>3.2726290073965987</v>
      </c>
      <c r="O12" s="230"/>
      <c r="P12" s="230"/>
      <c r="Q12" s="233">
        <v>3.2249596262414455</v>
      </c>
      <c r="R12" s="240">
        <v>3.9847950000000001</v>
      </c>
      <c r="S12" s="442">
        <v>4.0460390000000004</v>
      </c>
      <c r="T12" s="446">
        <v>4.1727639999999999</v>
      </c>
      <c r="U12" s="359">
        <v>5</v>
      </c>
      <c r="V12" s="124">
        <f>(0/6)*100</f>
        <v>0</v>
      </c>
      <c r="W12" s="432">
        <f>(0/18)*100</f>
        <v>0</v>
      </c>
      <c r="X12" s="429">
        <f>(1/36)*100</f>
        <v>2.7777777777777777</v>
      </c>
    </row>
    <row r="13" spans="1:24" x14ac:dyDescent="0.2">
      <c r="A13" s="189" t="s">
        <v>6</v>
      </c>
      <c r="B13" s="206" t="s">
        <v>50</v>
      </c>
      <c r="C13" s="206" t="s">
        <v>51</v>
      </c>
      <c r="D13" s="191">
        <v>53</v>
      </c>
      <c r="E13" s="192">
        <v>20530</v>
      </c>
      <c r="F13" s="181">
        <v>926</v>
      </c>
      <c r="G13" s="201">
        <v>7</v>
      </c>
      <c r="H13" s="425"/>
      <c r="I13" s="233">
        <v>4.5099826031619292</v>
      </c>
      <c r="J13" s="234"/>
      <c r="K13" s="233">
        <v>4.2078514418692397</v>
      </c>
      <c r="L13" s="233">
        <v>4.5424774567453454</v>
      </c>
      <c r="M13" s="233">
        <v>4.187721459352777</v>
      </c>
      <c r="N13" s="233">
        <v>4.4640645339977878</v>
      </c>
      <c r="O13" s="230"/>
      <c r="P13" s="230"/>
      <c r="Q13" s="233">
        <v>2.9026082432716276</v>
      </c>
      <c r="R13" s="236">
        <v>4.1357840000000001</v>
      </c>
      <c r="S13" s="443"/>
      <c r="T13" s="423"/>
      <c r="U13" s="360"/>
      <c r="V13" s="124">
        <f>(0/6)*100</f>
        <v>0</v>
      </c>
      <c r="W13" s="433"/>
      <c r="X13" s="430"/>
    </row>
    <row r="14" spans="1:24" x14ac:dyDescent="0.2">
      <c r="A14" s="194" t="s">
        <v>6</v>
      </c>
      <c r="B14" s="207" t="s">
        <v>50</v>
      </c>
      <c r="C14" s="207" t="s">
        <v>51</v>
      </c>
      <c r="D14" s="196">
        <v>53</v>
      </c>
      <c r="E14" s="197">
        <v>30530</v>
      </c>
      <c r="F14" s="198">
        <v>3704</v>
      </c>
      <c r="G14" s="199">
        <v>14</v>
      </c>
      <c r="H14" s="425"/>
      <c r="I14" s="233">
        <v>4.2307263729031623</v>
      </c>
      <c r="J14" s="234"/>
      <c r="K14" s="233">
        <v>4.136752184873397</v>
      </c>
      <c r="L14" s="233">
        <v>4.4872760524561635</v>
      </c>
      <c r="M14" s="233">
        <v>4.227483042402393</v>
      </c>
      <c r="N14" s="233">
        <v>3.8932408794356554</v>
      </c>
      <c r="O14" s="230"/>
      <c r="P14" s="230"/>
      <c r="Q14" s="233">
        <v>3.1297491828142245</v>
      </c>
      <c r="R14" s="236">
        <v>4.0175380000000001</v>
      </c>
      <c r="S14" s="443"/>
      <c r="T14" s="423"/>
      <c r="U14" s="360"/>
      <c r="V14" s="124">
        <f>(0/6)*100</f>
        <v>0</v>
      </c>
      <c r="W14" s="434"/>
      <c r="X14" s="430"/>
    </row>
    <row r="15" spans="1:24" x14ac:dyDescent="0.2">
      <c r="A15" s="183" t="s">
        <v>6</v>
      </c>
      <c r="B15" s="205" t="s">
        <v>49</v>
      </c>
      <c r="C15" s="205" t="s">
        <v>52</v>
      </c>
      <c r="D15" s="185">
        <v>56</v>
      </c>
      <c r="E15" s="186">
        <v>10560</v>
      </c>
      <c r="F15" s="187">
        <v>500</v>
      </c>
      <c r="G15" s="200">
        <v>3.5</v>
      </c>
      <c r="H15" s="425"/>
      <c r="I15" s="233">
        <v>4.4805943990614825</v>
      </c>
      <c r="J15" s="234"/>
      <c r="K15" s="233">
        <v>4.0199247044483899</v>
      </c>
      <c r="L15" s="233">
        <v>4.3033534711137085</v>
      </c>
      <c r="M15" s="233">
        <v>4.5586043487154999</v>
      </c>
      <c r="N15" s="221"/>
      <c r="O15" s="233">
        <v>4.5938634726014751</v>
      </c>
      <c r="P15" s="234"/>
      <c r="Q15" s="233">
        <v>3.1044669452504929</v>
      </c>
      <c r="R15" s="236">
        <v>4.1768010000000002</v>
      </c>
      <c r="S15" s="442">
        <v>4.2994890000000003</v>
      </c>
      <c r="T15" s="423"/>
      <c r="U15" s="360"/>
      <c r="V15" s="124">
        <f>(0/6)*100</f>
        <v>0</v>
      </c>
      <c r="W15" s="432">
        <f>(1/18)*100</f>
        <v>5.5555555555555554</v>
      </c>
      <c r="X15" s="430"/>
    </row>
    <row r="16" spans="1:24" x14ac:dyDescent="0.2">
      <c r="A16" s="189" t="s">
        <v>6</v>
      </c>
      <c r="B16" s="206" t="s">
        <v>49</v>
      </c>
      <c r="C16" s="206" t="s">
        <v>52</v>
      </c>
      <c r="D16" s="191">
        <v>56</v>
      </c>
      <c r="E16" s="181">
        <v>20560</v>
      </c>
      <c r="F16" s="181">
        <v>926</v>
      </c>
      <c r="G16" s="201">
        <v>5</v>
      </c>
      <c r="H16" s="425"/>
      <c r="I16" s="233">
        <v>4.430302136527823</v>
      </c>
      <c r="J16" s="234"/>
      <c r="K16" s="233">
        <v>4.0744420273804316</v>
      </c>
      <c r="L16" s="233">
        <v>4.5908947689600383</v>
      </c>
      <c r="M16" s="233">
        <v>4.4769695789348463</v>
      </c>
      <c r="N16" s="221"/>
      <c r="O16" s="233">
        <v>4.3602814189578822</v>
      </c>
      <c r="P16" s="234"/>
      <c r="Q16" s="233">
        <v>3.8792826138062226</v>
      </c>
      <c r="R16" s="236">
        <v>4.3020290000000001</v>
      </c>
      <c r="S16" s="443"/>
      <c r="T16" s="423"/>
      <c r="U16" s="360"/>
      <c r="V16" s="124">
        <f>(0/6)*100</f>
        <v>0</v>
      </c>
      <c r="W16" s="433"/>
      <c r="X16" s="430"/>
    </row>
    <row r="17" spans="1:24" x14ac:dyDescent="0.2">
      <c r="A17" s="194" t="s">
        <v>6</v>
      </c>
      <c r="B17" s="207" t="s">
        <v>49</v>
      </c>
      <c r="C17" s="207" t="s">
        <v>52</v>
      </c>
      <c r="D17" s="196">
        <v>56</v>
      </c>
      <c r="E17" s="198">
        <v>30560</v>
      </c>
      <c r="F17" s="198">
        <v>3704</v>
      </c>
      <c r="G17" s="199">
        <v>16</v>
      </c>
      <c r="H17" s="426"/>
      <c r="I17" s="233">
        <v>4.1382438872380778</v>
      </c>
      <c r="J17" s="234"/>
      <c r="K17" s="233">
        <v>4.282687602468382</v>
      </c>
      <c r="L17" s="233">
        <v>5.2818418571797174</v>
      </c>
      <c r="M17" s="233">
        <v>4.5108078947883525</v>
      </c>
      <c r="N17" s="221"/>
      <c r="O17" s="233">
        <v>3.4012904583336185</v>
      </c>
      <c r="P17" s="234"/>
      <c r="Q17" s="233">
        <v>4.9029557176913467</v>
      </c>
      <c r="R17" s="236">
        <v>4.419638</v>
      </c>
      <c r="S17" s="443"/>
      <c r="T17" s="423"/>
      <c r="U17" s="361"/>
      <c r="V17" s="124">
        <f>(1/6)*100</f>
        <v>16.666666666666664</v>
      </c>
      <c r="W17" s="434"/>
      <c r="X17" s="431"/>
    </row>
    <row r="18" spans="1:24" x14ac:dyDescent="0.2">
      <c r="A18" s="183" t="s">
        <v>6</v>
      </c>
      <c r="B18" s="205" t="s">
        <v>16</v>
      </c>
      <c r="C18" s="205" t="s">
        <v>53</v>
      </c>
      <c r="D18" s="185">
        <v>64</v>
      </c>
      <c r="E18" s="187">
        <v>10640</v>
      </c>
      <c r="F18" s="187">
        <v>500</v>
      </c>
      <c r="G18" s="200">
        <v>6</v>
      </c>
      <c r="H18" s="424" t="s">
        <v>88</v>
      </c>
      <c r="I18" s="233">
        <v>5.1817236672607949</v>
      </c>
      <c r="J18" s="234"/>
      <c r="K18" s="233">
        <v>5.0993744105303893</v>
      </c>
      <c r="L18" s="233">
        <v>4.5608774143947413</v>
      </c>
      <c r="M18" s="233">
        <v>5.8641465353939051</v>
      </c>
      <c r="N18" s="230"/>
      <c r="O18" s="233">
        <v>4.1717434734179246</v>
      </c>
      <c r="P18" s="235"/>
      <c r="Q18" s="233">
        <v>5.5253123603002798</v>
      </c>
      <c r="R18" s="238">
        <v>5.067196</v>
      </c>
      <c r="S18" s="440">
        <v>5.3168369999999996</v>
      </c>
      <c r="T18" s="444">
        <v>5.2329549999999996</v>
      </c>
      <c r="U18" s="359">
        <v>5</v>
      </c>
      <c r="V18" s="124">
        <f>(4/6)*100</f>
        <v>66.666666666666657</v>
      </c>
      <c r="W18" s="432">
        <f>(15/18)*100</f>
        <v>83.333333333333343</v>
      </c>
      <c r="X18" s="429">
        <f>(29/36)*100</f>
        <v>80.555555555555557</v>
      </c>
    </row>
    <row r="19" spans="1:24" x14ac:dyDescent="0.2">
      <c r="A19" s="189" t="s">
        <v>6</v>
      </c>
      <c r="B19" s="206" t="s">
        <v>16</v>
      </c>
      <c r="C19" s="206" t="s">
        <v>53</v>
      </c>
      <c r="D19" s="191">
        <v>64</v>
      </c>
      <c r="E19" s="181">
        <v>20640</v>
      </c>
      <c r="F19" s="181">
        <v>926</v>
      </c>
      <c r="G19" s="201">
        <v>10</v>
      </c>
      <c r="H19" s="425"/>
      <c r="I19" s="233">
        <v>5.2641698960778776</v>
      </c>
      <c r="J19" s="234"/>
      <c r="K19" s="233">
        <v>5.0861378877156795</v>
      </c>
      <c r="L19" s="233">
        <v>5.3631516516845625</v>
      </c>
      <c r="M19" s="233">
        <v>6.1333010119415752</v>
      </c>
      <c r="N19" s="230"/>
      <c r="O19" s="233">
        <v>5.3167465554914264</v>
      </c>
      <c r="P19" s="235"/>
      <c r="Q19" s="233">
        <v>5.8715249790232731</v>
      </c>
      <c r="R19" s="238">
        <v>5.5058389999999999</v>
      </c>
      <c r="S19" s="441"/>
      <c r="T19" s="445"/>
      <c r="U19" s="360"/>
      <c r="V19" s="124">
        <f>(6/6)*100</f>
        <v>100</v>
      </c>
      <c r="W19" s="433"/>
      <c r="X19" s="430"/>
    </row>
    <row r="20" spans="1:24" x14ac:dyDescent="0.2">
      <c r="A20" s="194" t="s">
        <v>6</v>
      </c>
      <c r="B20" s="207" t="s">
        <v>16</v>
      </c>
      <c r="C20" s="207" t="s">
        <v>53</v>
      </c>
      <c r="D20" s="196">
        <v>64</v>
      </c>
      <c r="E20" s="198">
        <v>30640</v>
      </c>
      <c r="F20" s="198">
        <v>3704</v>
      </c>
      <c r="G20" s="199">
        <v>19</v>
      </c>
      <c r="H20" s="425"/>
      <c r="I20" s="233">
        <v>5.381273501086933</v>
      </c>
      <c r="J20" s="234"/>
      <c r="K20" s="233">
        <v>4.8338569463796439</v>
      </c>
      <c r="L20" s="233">
        <v>5.2041810188783639</v>
      </c>
      <c r="M20" s="233">
        <v>5.9942762481198137</v>
      </c>
      <c r="N20" s="230"/>
      <c r="O20" s="233">
        <v>5.0416565225489531</v>
      </c>
      <c r="P20" s="235"/>
      <c r="Q20" s="233">
        <v>5.8096169866413092</v>
      </c>
      <c r="R20" s="238">
        <v>5.3774769999999998</v>
      </c>
      <c r="S20" s="441"/>
      <c r="T20" s="445"/>
      <c r="U20" s="360"/>
      <c r="V20" s="124">
        <f>(5/6)*100</f>
        <v>83.333333333333343</v>
      </c>
      <c r="W20" s="434"/>
      <c r="X20" s="430"/>
    </row>
    <row r="21" spans="1:24" x14ac:dyDescent="0.2">
      <c r="A21" s="183" t="s">
        <v>19</v>
      </c>
      <c r="B21" s="205" t="s">
        <v>20</v>
      </c>
      <c r="C21" s="205" t="s">
        <v>54</v>
      </c>
      <c r="D21" s="185">
        <v>72</v>
      </c>
      <c r="E21" s="187">
        <v>10720</v>
      </c>
      <c r="F21" s="187">
        <v>500</v>
      </c>
      <c r="G21" s="200">
        <v>3</v>
      </c>
      <c r="H21" s="425"/>
      <c r="I21" s="233">
        <v>5.7470950381650896</v>
      </c>
      <c r="J21" s="234"/>
      <c r="K21" s="233">
        <v>5.2075739357106334</v>
      </c>
      <c r="L21" s="233">
        <v>5.3915993543708334</v>
      </c>
      <c r="M21" s="233">
        <v>4.746717063758533</v>
      </c>
      <c r="N21" s="221"/>
      <c r="O21" s="233">
        <v>5.6597422837157723</v>
      </c>
      <c r="P21" s="234"/>
      <c r="Q21" s="233">
        <v>5.2266923984977982</v>
      </c>
      <c r="R21" s="238">
        <v>5.3299029999999998</v>
      </c>
      <c r="S21" s="440">
        <v>5.1490729999999996</v>
      </c>
      <c r="T21" s="445"/>
      <c r="U21" s="360"/>
      <c r="V21" s="124">
        <f>(5/6)*100</f>
        <v>83.333333333333343</v>
      </c>
      <c r="W21" s="432">
        <f>(14/18)*100</f>
        <v>77.777777777777786</v>
      </c>
      <c r="X21" s="430"/>
    </row>
    <row r="22" spans="1:24" x14ac:dyDescent="0.2">
      <c r="A22" s="189" t="s">
        <v>19</v>
      </c>
      <c r="B22" s="206" t="s">
        <v>20</v>
      </c>
      <c r="C22" s="206" t="s">
        <v>54</v>
      </c>
      <c r="D22" s="191">
        <v>72</v>
      </c>
      <c r="E22" s="181">
        <v>20720</v>
      </c>
      <c r="F22" s="181">
        <v>926</v>
      </c>
      <c r="G22" s="201">
        <v>6</v>
      </c>
      <c r="H22" s="425"/>
      <c r="I22" s="233">
        <v>5.5910284881191865</v>
      </c>
      <c r="J22" s="234"/>
      <c r="K22" s="233">
        <v>5.4956341682222494</v>
      </c>
      <c r="L22" s="233">
        <v>2.8623830982555845</v>
      </c>
      <c r="M22" s="233">
        <v>4.8958133020044938</v>
      </c>
      <c r="N22" s="221"/>
      <c r="O22" s="233">
        <v>5.3318842560191451</v>
      </c>
      <c r="P22" s="234"/>
      <c r="Q22" s="233">
        <v>4.9944815122150334</v>
      </c>
      <c r="R22" s="236">
        <v>4.8618709999999998</v>
      </c>
      <c r="S22" s="441"/>
      <c r="T22" s="445"/>
      <c r="U22" s="360"/>
      <c r="V22" s="124">
        <f>(3/6)*100</f>
        <v>50</v>
      </c>
      <c r="W22" s="433"/>
      <c r="X22" s="430"/>
    </row>
    <row r="23" spans="1:24" x14ac:dyDescent="0.2">
      <c r="A23" s="194" t="s">
        <v>19</v>
      </c>
      <c r="B23" s="207" t="s">
        <v>20</v>
      </c>
      <c r="C23" s="207" t="s">
        <v>54</v>
      </c>
      <c r="D23" s="196">
        <v>72</v>
      </c>
      <c r="E23" s="198">
        <v>30720</v>
      </c>
      <c r="F23" s="198">
        <v>3704</v>
      </c>
      <c r="G23" s="199">
        <v>14</v>
      </c>
      <c r="H23" s="426"/>
      <c r="I23" s="233">
        <v>5.5999560811567122</v>
      </c>
      <c r="J23" s="234"/>
      <c r="K23" s="233">
        <v>5.0157888158437665</v>
      </c>
      <c r="L23" s="233">
        <v>5.4870190735011386</v>
      </c>
      <c r="M23" s="233">
        <v>5.0148389253486139</v>
      </c>
      <c r="N23" s="221"/>
      <c r="O23" s="233">
        <v>5.1011867004133622</v>
      </c>
      <c r="P23" s="234"/>
      <c r="Q23" s="233">
        <v>5.31388094218749</v>
      </c>
      <c r="R23" s="238">
        <v>5.2554449999999999</v>
      </c>
      <c r="S23" s="441"/>
      <c r="T23" s="445"/>
      <c r="U23" s="361"/>
      <c r="V23" s="124">
        <f>(6/6)*100</f>
        <v>100</v>
      </c>
      <c r="W23" s="434"/>
      <c r="X23" s="431"/>
    </row>
    <row r="24" spans="1:24" x14ac:dyDescent="0.2">
      <c r="A24" s="183" t="s">
        <v>19</v>
      </c>
      <c r="B24" s="208" t="s">
        <v>24</v>
      </c>
      <c r="C24" s="208" t="s">
        <v>25</v>
      </c>
      <c r="D24" s="185">
        <v>601</v>
      </c>
      <c r="E24" s="209">
        <v>16010</v>
      </c>
      <c r="F24" s="187">
        <v>500</v>
      </c>
      <c r="G24" s="200">
        <v>6</v>
      </c>
      <c r="H24" s="424" t="s">
        <v>84</v>
      </c>
      <c r="I24" s="221"/>
      <c r="J24" s="233">
        <v>4.6429821663291424</v>
      </c>
      <c r="K24" s="233">
        <v>5.4948760830846206</v>
      </c>
      <c r="L24" s="233">
        <v>5.8560052700098444</v>
      </c>
      <c r="M24" s="233">
        <v>6.0458968078286075</v>
      </c>
      <c r="N24" s="221"/>
      <c r="O24" s="233">
        <v>7.2595511546742788</v>
      </c>
      <c r="P24" s="234"/>
      <c r="Q24" s="233">
        <v>5.3647271614800713</v>
      </c>
      <c r="R24" s="238">
        <v>5.7773399999999997</v>
      </c>
      <c r="S24" s="440">
        <v>5.7471199999999998</v>
      </c>
      <c r="T24" s="444">
        <v>5.6376309999999998</v>
      </c>
      <c r="U24" s="359">
        <v>5</v>
      </c>
      <c r="V24" s="124">
        <f>(5/6)*100</f>
        <v>83.333333333333343</v>
      </c>
      <c r="W24" s="432">
        <f>(15/18)*100</f>
        <v>83.333333333333343</v>
      </c>
      <c r="X24" s="429">
        <f>(30/36)*100</f>
        <v>83.333333333333343</v>
      </c>
    </row>
    <row r="25" spans="1:24" x14ac:dyDescent="0.2">
      <c r="A25" s="189" t="s">
        <v>19</v>
      </c>
      <c r="B25" s="182" t="s">
        <v>24</v>
      </c>
      <c r="C25" s="182" t="s">
        <v>25</v>
      </c>
      <c r="D25" s="191">
        <v>601</v>
      </c>
      <c r="E25" s="210">
        <v>26010</v>
      </c>
      <c r="F25" s="181">
        <v>926</v>
      </c>
      <c r="G25" s="201">
        <v>16</v>
      </c>
      <c r="H25" s="425"/>
      <c r="I25" s="221"/>
      <c r="J25" s="233">
        <v>6.0913539880235401</v>
      </c>
      <c r="K25" s="233">
        <v>4.9884369630269489</v>
      </c>
      <c r="L25" s="233">
        <v>5.717691347538131</v>
      </c>
      <c r="M25" s="233">
        <v>6.1391375874515024</v>
      </c>
      <c r="N25" s="221"/>
      <c r="O25" s="233">
        <v>6.735723003510838</v>
      </c>
      <c r="P25" s="234"/>
      <c r="Q25" s="233">
        <v>5.5347100171772237</v>
      </c>
      <c r="R25" s="238">
        <v>5.8678419999999996</v>
      </c>
      <c r="S25" s="441"/>
      <c r="T25" s="445"/>
      <c r="U25" s="360"/>
      <c r="V25" s="124">
        <f>(5/6)*100</f>
        <v>83.333333333333343</v>
      </c>
      <c r="W25" s="433"/>
      <c r="X25" s="430"/>
    </row>
    <row r="26" spans="1:24" x14ac:dyDescent="0.2">
      <c r="A26" s="194" t="s">
        <v>19</v>
      </c>
      <c r="B26" s="211" t="s">
        <v>24</v>
      </c>
      <c r="C26" s="211" t="s">
        <v>25</v>
      </c>
      <c r="D26" s="196">
        <v>601</v>
      </c>
      <c r="E26" s="212">
        <v>36010</v>
      </c>
      <c r="F26" s="198">
        <v>3704</v>
      </c>
      <c r="G26" s="199">
        <v>27</v>
      </c>
      <c r="H26" s="425"/>
      <c r="I26" s="221"/>
      <c r="J26" s="233">
        <v>5.0961229266228552</v>
      </c>
      <c r="K26" s="233">
        <v>4.1100964675151408</v>
      </c>
      <c r="L26" s="233">
        <v>5.9920181512227799</v>
      </c>
      <c r="M26" s="233">
        <v>5.6525502376396499</v>
      </c>
      <c r="N26" s="221"/>
      <c r="O26" s="233">
        <v>7.7023849290320392</v>
      </c>
      <c r="P26" s="234"/>
      <c r="Q26" s="233">
        <v>5.0238999703291212</v>
      </c>
      <c r="R26" s="238">
        <v>5.5961790000000002</v>
      </c>
      <c r="S26" s="441"/>
      <c r="T26" s="445"/>
      <c r="U26" s="360"/>
      <c r="V26" s="124">
        <f>(5/6)*100</f>
        <v>83.333333333333343</v>
      </c>
      <c r="W26" s="434"/>
      <c r="X26" s="430"/>
    </row>
    <row r="27" spans="1:24" x14ac:dyDescent="0.2">
      <c r="A27" s="213" t="s">
        <v>19</v>
      </c>
      <c r="B27" s="208" t="s">
        <v>24</v>
      </c>
      <c r="C27" s="208" t="s">
        <v>78</v>
      </c>
      <c r="D27" s="185">
        <v>82</v>
      </c>
      <c r="E27" s="187">
        <v>10820</v>
      </c>
      <c r="F27" s="187">
        <v>500</v>
      </c>
      <c r="G27" s="200">
        <v>5</v>
      </c>
      <c r="H27" s="425"/>
      <c r="I27" s="221"/>
      <c r="J27" s="233">
        <v>5.4610807156115762</v>
      </c>
      <c r="K27" s="233">
        <v>5.8109238202359572</v>
      </c>
      <c r="L27" s="233">
        <v>5.1680469754559306</v>
      </c>
      <c r="M27" s="233">
        <v>5.3268067015524041</v>
      </c>
      <c r="N27" s="221"/>
      <c r="O27" s="233">
        <v>6.1285785442728091</v>
      </c>
      <c r="P27" s="234"/>
      <c r="Q27" s="233">
        <v>5.8274278124490362</v>
      </c>
      <c r="R27" s="238">
        <v>5.6204770000000002</v>
      </c>
      <c r="S27" s="440">
        <v>5.5281419999999999</v>
      </c>
      <c r="T27" s="445"/>
      <c r="U27" s="360"/>
      <c r="V27" s="124">
        <f>(6/6)*100</f>
        <v>100</v>
      </c>
      <c r="W27" s="432">
        <f>(15/18)*100</f>
        <v>83.333333333333343</v>
      </c>
      <c r="X27" s="430"/>
    </row>
    <row r="28" spans="1:24" x14ac:dyDescent="0.2">
      <c r="A28" s="214" t="s">
        <v>19</v>
      </c>
      <c r="B28" s="182" t="s">
        <v>24</v>
      </c>
      <c r="C28" s="182" t="s">
        <v>78</v>
      </c>
      <c r="D28" s="191">
        <v>82</v>
      </c>
      <c r="E28" s="181">
        <v>20820</v>
      </c>
      <c r="F28" s="181">
        <v>926</v>
      </c>
      <c r="G28" s="201">
        <v>7</v>
      </c>
      <c r="H28" s="425"/>
      <c r="I28" s="221"/>
      <c r="J28" s="233">
        <v>4.8267993827166027</v>
      </c>
      <c r="K28" s="233">
        <v>6.033355693780913</v>
      </c>
      <c r="L28" s="233">
        <v>4.8940462572127199</v>
      </c>
      <c r="M28" s="233">
        <v>5.5786881278195519</v>
      </c>
      <c r="N28" s="221"/>
      <c r="O28" s="233">
        <v>5.7012733844596752</v>
      </c>
      <c r="P28" s="234"/>
      <c r="Q28" s="233">
        <v>5.9328611980037813</v>
      </c>
      <c r="R28" s="238">
        <v>5.4945040000000001</v>
      </c>
      <c r="S28" s="441"/>
      <c r="T28" s="445"/>
      <c r="U28" s="360"/>
      <c r="V28" s="124">
        <f>(4/6)*100</f>
        <v>66.666666666666657</v>
      </c>
      <c r="W28" s="433"/>
      <c r="X28" s="430"/>
    </row>
    <row r="29" spans="1:24" x14ac:dyDescent="0.2">
      <c r="A29" s="215" t="s">
        <v>19</v>
      </c>
      <c r="B29" s="211" t="s">
        <v>24</v>
      </c>
      <c r="C29" s="211" t="s">
        <v>78</v>
      </c>
      <c r="D29" s="196">
        <v>82</v>
      </c>
      <c r="E29" s="198">
        <v>30820</v>
      </c>
      <c r="F29" s="198">
        <v>3704</v>
      </c>
      <c r="G29" s="199">
        <v>15</v>
      </c>
      <c r="H29" s="426"/>
      <c r="I29" s="221"/>
      <c r="J29" s="233">
        <v>5.0524295544151059</v>
      </c>
      <c r="K29" s="233">
        <v>4.7976402769857343</v>
      </c>
      <c r="L29" s="233">
        <v>5.4066977492938904</v>
      </c>
      <c r="M29" s="233">
        <v>5.3631274672676579</v>
      </c>
      <c r="N29" s="221"/>
      <c r="O29" s="233">
        <v>6.3852965853710755</v>
      </c>
      <c r="P29" s="234"/>
      <c r="Q29" s="233">
        <v>5.8114864013473921</v>
      </c>
      <c r="R29" s="238">
        <v>5.4694459999999996</v>
      </c>
      <c r="S29" s="441"/>
      <c r="T29" s="445"/>
      <c r="U29" s="361"/>
      <c r="V29" s="124">
        <f>(5/6)*100</f>
        <v>83.333333333333343</v>
      </c>
      <c r="W29" s="434"/>
      <c r="X29" s="431"/>
    </row>
    <row r="30" spans="1:24" ht="15" x14ac:dyDescent="0.2">
      <c r="A30" s="216" t="s">
        <v>6</v>
      </c>
      <c r="B30" s="161" t="s">
        <v>50</v>
      </c>
      <c r="C30" s="161" t="s">
        <v>106</v>
      </c>
      <c r="D30" s="217"/>
      <c r="E30" s="158">
        <v>40530</v>
      </c>
      <c r="F30" s="218">
        <v>8334</v>
      </c>
      <c r="G30" s="219">
        <v>18</v>
      </c>
      <c r="H30" s="222" t="s">
        <v>104</v>
      </c>
      <c r="I30" s="233">
        <v>4.4771687568775027</v>
      </c>
      <c r="J30" s="234"/>
      <c r="K30" s="233">
        <v>4.1579640485588989</v>
      </c>
      <c r="L30" s="233">
        <v>3.4744237785167815</v>
      </c>
      <c r="M30" s="233">
        <v>3.9150286806859835</v>
      </c>
      <c r="N30" s="221"/>
      <c r="O30" s="221"/>
      <c r="P30" s="221"/>
      <c r="Q30" s="233">
        <v>6.0324662997077985</v>
      </c>
      <c r="R30" s="236">
        <v>4.4114100000000001</v>
      </c>
      <c r="S30" s="236">
        <v>4.4114100000000001</v>
      </c>
      <c r="T30" s="237">
        <v>4.4114100000000001</v>
      </c>
      <c r="U30" s="172">
        <v>4.5</v>
      </c>
      <c r="V30" s="124">
        <f>(1/5)*100</f>
        <v>20</v>
      </c>
      <c r="W30" s="124">
        <f>(1/5)*100</f>
        <v>20</v>
      </c>
      <c r="X30" s="145">
        <f>(1/5)*100</f>
        <v>20</v>
      </c>
    </row>
    <row r="31" spans="1:24" ht="15" x14ac:dyDescent="0.2">
      <c r="A31" s="216" t="s">
        <v>19</v>
      </c>
      <c r="B31" s="161" t="s">
        <v>20</v>
      </c>
      <c r="C31" s="161" t="s">
        <v>54</v>
      </c>
      <c r="D31" s="217"/>
      <c r="E31" s="218">
        <v>40720</v>
      </c>
      <c r="F31" s="218">
        <v>7233</v>
      </c>
      <c r="G31" s="219">
        <v>21</v>
      </c>
      <c r="H31" s="223" t="s">
        <v>105</v>
      </c>
      <c r="I31" s="233">
        <v>4.2903842994912029</v>
      </c>
      <c r="J31" s="234"/>
      <c r="K31" s="233">
        <v>4.9380809366778831</v>
      </c>
      <c r="L31" s="233">
        <v>5.2803871075289699</v>
      </c>
      <c r="M31" s="233">
        <v>5.0900178953700799</v>
      </c>
      <c r="N31" s="221"/>
      <c r="O31" s="233">
        <v>5.6528120577816949</v>
      </c>
      <c r="P31" s="234"/>
      <c r="Q31" s="233">
        <v>6.0428164242939495</v>
      </c>
      <c r="R31" s="238">
        <v>5.2157499999999999</v>
      </c>
      <c r="S31" s="238">
        <v>5.2157499999999999</v>
      </c>
      <c r="T31" s="239">
        <v>5.2157499999999999</v>
      </c>
      <c r="U31" s="172">
        <v>4.5</v>
      </c>
      <c r="V31" s="124">
        <f>(5/6)*100</f>
        <v>83.333333333333343</v>
      </c>
      <c r="W31" s="124">
        <f>(5/6)*100</f>
        <v>83.333333333333343</v>
      </c>
      <c r="X31" s="145">
        <f>(5/6)*100</f>
        <v>83.333333333333343</v>
      </c>
    </row>
    <row r="33" spans="2:20" x14ac:dyDescent="0.2">
      <c r="B33" s="220"/>
      <c r="D33" s="191"/>
      <c r="K33" s="134"/>
      <c r="M33" s="134"/>
      <c r="O33" s="134"/>
      <c r="Q33" s="134"/>
    </row>
    <row r="34" spans="2:20" x14ac:dyDescent="0.2">
      <c r="B34" s="220"/>
      <c r="D34" s="191"/>
      <c r="T34" s="224"/>
    </row>
    <row r="35" spans="2:20" x14ac:dyDescent="0.2">
      <c r="B35" s="220"/>
      <c r="D35" s="191"/>
      <c r="T35" s="224"/>
    </row>
    <row r="36" spans="2:20" x14ac:dyDescent="0.2">
      <c r="B36" s="220"/>
      <c r="D36" s="191"/>
      <c r="T36" s="224"/>
    </row>
    <row r="37" spans="2:20" x14ac:dyDescent="0.2">
      <c r="B37" s="220"/>
      <c r="D37" s="191"/>
      <c r="T37" s="224"/>
    </row>
    <row r="38" spans="2:20" x14ac:dyDescent="0.2">
      <c r="B38" s="220"/>
      <c r="D38" s="191"/>
      <c r="T38" s="224"/>
    </row>
    <row r="39" spans="2:20" x14ac:dyDescent="0.2">
      <c r="T39" s="224"/>
    </row>
  </sheetData>
  <mergeCells count="36">
    <mergeCell ref="R1:T1"/>
    <mergeCell ref="V1:X1"/>
    <mergeCell ref="S6:S8"/>
    <mergeCell ref="W15:W17"/>
    <mergeCell ref="X12:X17"/>
    <mergeCell ref="H3:H11"/>
    <mergeCell ref="T3:T11"/>
    <mergeCell ref="U3:U11"/>
    <mergeCell ref="W3:W5"/>
    <mergeCell ref="X3:X11"/>
    <mergeCell ref="W6:W8"/>
    <mergeCell ref="S9:S11"/>
    <mergeCell ref="S3:S5"/>
    <mergeCell ref="W9:W11"/>
    <mergeCell ref="S21:S23"/>
    <mergeCell ref="T12:T17"/>
    <mergeCell ref="U12:U17"/>
    <mergeCell ref="W12:W14"/>
    <mergeCell ref="X18:X23"/>
    <mergeCell ref="X24:X29"/>
    <mergeCell ref="S18:S20"/>
    <mergeCell ref="W27:W29"/>
    <mergeCell ref="H18:H23"/>
    <mergeCell ref="T18:T23"/>
    <mergeCell ref="U18:U23"/>
    <mergeCell ref="W18:W20"/>
    <mergeCell ref="H12:H17"/>
    <mergeCell ref="S24:S26"/>
    <mergeCell ref="S27:S29"/>
    <mergeCell ref="W21:W23"/>
    <mergeCell ref="H24:H29"/>
    <mergeCell ref="S15:S17"/>
    <mergeCell ref="T24:T29"/>
    <mergeCell ref="U24:U29"/>
    <mergeCell ref="W24:W26"/>
    <mergeCell ref="S12:S14"/>
  </mergeCells>
  <pageMargins left="0.7" right="0.7" top="0.75" bottom="0.75"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53"/>
  <sheetViews>
    <sheetView topLeftCell="G1" zoomScale="70" zoomScaleNormal="70" workbookViewId="0">
      <pane ySplit="2" topLeftCell="A9" activePane="bottomLeft" state="frozen"/>
      <selection activeCell="D1" sqref="D1"/>
      <selection pane="bottomLeft" activeCell="O2" sqref="O2"/>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customWidth="1"/>
    <col min="14" max="15" width="11" customWidth="1"/>
    <col min="16" max="16" width="10.5703125" customWidth="1"/>
    <col min="17" max="17" width="10.85546875" customWidth="1"/>
    <col min="18" max="19" width="11.28515625" customWidth="1"/>
    <col min="20" max="20" width="12.28515625" customWidth="1"/>
    <col min="21" max="21" width="13.85546875" style="171" customWidth="1"/>
    <col min="22" max="23" width="13" customWidth="1"/>
    <col min="24" max="24" width="14.7109375" customWidth="1"/>
  </cols>
  <sheetData>
    <row r="1" spans="1:24" ht="51" customHeight="1" x14ac:dyDescent="0.2">
      <c r="R1" s="371" t="s">
        <v>90</v>
      </c>
      <c r="S1" s="371"/>
      <c r="T1" s="371"/>
      <c r="U1" s="447" t="s">
        <v>94</v>
      </c>
      <c r="V1" s="448"/>
      <c r="W1" s="448"/>
      <c r="X1" s="449"/>
    </row>
    <row r="2" spans="1:24" ht="51" x14ac:dyDescent="0.2">
      <c r="A2" s="74" t="s">
        <v>0</v>
      </c>
      <c r="B2" s="75" t="s">
        <v>1</v>
      </c>
      <c r="C2" s="74" t="s">
        <v>2</v>
      </c>
      <c r="D2" s="25" t="s">
        <v>89</v>
      </c>
      <c r="E2" s="74" t="s">
        <v>81</v>
      </c>
      <c r="F2" s="74" t="s">
        <v>4</v>
      </c>
      <c r="G2" s="74" t="s">
        <v>5</v>
      </c>
      <c r="H2" s="1" t="s">
        <v>85</v>
      </c>
      <c r="I2" s="25" t="s">
        <v>30</v>
      </c>
      <c r="J2" s="25" t="s">
        <v>31</v>
      </c>
      <c r="K2" s="25" t="s">
        <v>77</v>
      </c>
      <c r="L2" s="25" t="s">
        <v>76</v>
      </c>
      <c r="M2" s="25" t="s">
        <v>75</v>
      </c>
      <c r="N2" s="3" t="s">
        <v>74</v>
      </c>
      <c r="O2" s="25" t="s">
        <v>42</v>
      </c>
      <c r="P2" s="25" t="s">
        <v>43</v>
      </c>
      <c r="Q2" s="25" t="s">
        <v>44</v>
      </c>
      <c r="R2" s="25" t="s">
        <v>71</v>
      </c>
      <c r="S2" s="26" t="s">
        <v>72</v>
      </c>
      <c r="T2" s="26" t="s">
        <v>80</v>
      </c>
      <c r="U2" s="26" t="s">
        <v>107</v>
      </c>
      <c r="V2" s="146" t="s">
        <v>91</v>
      </c>
      <c r="W2" s="146" t="s">
        <v>92</v>
      </c>
      <c r="X2" s="146" t="s">
        <v>93</v>
      </c>
    </row>
    <row r="3" spans="1:24" x14ac:dyDescent="0.2">
      <c r="A3" s="183" t="s">
        <v>6</v>
      </c>
      <c r="B3" s="184" t="s">
        <v>9</v>
      </c>
      <c r="C3" s="184" t="s">
        <v>46</v>
      </c>
      <c r="D3" s="185">
        <v>8</v>
      </c>
      <c r="E3" s="186">
        <v>10080</v>
      </c>
      <c r="F3" s="187">
        <v>500</v>
      </c>
      <c r="G3" s="188">
        <v>3</v>
      </c>
      <c r="H3" s="424" t="s">
        <v>82</v>
      </c>
      <c r="I3" s="249">
        <v>4.0410000000000004</v>
      </c>
      <c r="J3" s="249">
        <v>4.6100000000000003</v>
      </c>
      <c r="K3" s="250">
        <v>5.3209999999999997</v>
      </c>
      <c r="L3" s="249"/>
      <c r="M3" s="249">
        <v>3.9470000000000001</v>
      </c>
      <c r="N3" s="249">
        <v>3.9319999999999999</v>
      </c>
      <c r="O3" s="249">
        <v>5.0780000000000003</v>
      </c>
      <c r="P3" s="249">
        <v>3.141</v>
      </c>
      <c r="Q3" s="230"/>
      <c r="R3" s="247">
        <v>4.2960000000000003</v>
      </c>
      <c r="S3" s="450">
        <v>3.8460000000000001</v>
      </c>
      <c r="T3" s="452">
        <v>3.964</v>
      </c>
      <c r="U3" s="359">
        <v>5</v>
      </c>
      <c r="V3" s="124">
        <f>(2/7)*100</f>
        <v>28.571428571428569</v>
      </c>
      <c r="W3" s="432">
        <f>(3/21)*100</f>
        <v>14.285714285714285</v>
      </c>
      <c r="X3" s="429">
        <f>(6/63)*100</f>
        <v>9.5238095238095237</v>
      </c>
    </row>
    <row r="4" spans="1:24" x14ac:dyDescent="0.2">
      <c r="A4" s="189" t="s">
        <v>6</v>
      </c>
      <c r="B4" s="190" t="s">
        <v>9</v>
      </c>
      <c r="C4" s="190" t="s">
        <v>46</v>
      </c>
      <c r="D4" s="191">
        <v>8</v>
      </c>
      <c r="E4" s="192">
        <v>20080</v>
      </c>
      <c r="F4" s="181">
        <v>926</v>
      </c>
      <c r="G4" s="193">
        <v>6</v>
      </c>
      <c r="H4" s="425"/>
      <c r="I4" s="249">
        <v>4.2969999999999997</v>
      </c>
      <c r="J4" s="249">
        <v>4.524</v>
      </c>
      <c r="K4" s="250">
        <v>5.093</v>
      </c>
      <c r="L4" s="249"/>
      <c r="M4" s="249">
        <v>2.7229999999999999</v>
      </c>
      <c r="N4" s="249">
        <v>3.3769999999999998</v>
      </c>
      <c r="O4" s="249">
        <v>4.1020000000000003</v>
      </c>
      <c r="P4" s="249">
        <v>2.7650000000000001</v>
      </c>
      <c r="Q4" s="230"/>
      <c r="R4" s="243">
        <v>3.84</v>
      </c>
      <c r="S4" s="451"/>
      <c r="T4" s="453"/>
      <c r="U4" s="360"/>
      <c r="V4" s="124">
        <f>(1/7)*100</f>
        <v>14.285714285714285</v>
      </c>
      <c r="W4" s="433"/>
      <c r="X4" s="430"/>
    </row>
    <row r="5" spans="1:24" x14ac:dyDescent="0.2">
      <c r="A5" s="194" t="s">
        <v>6</v>
      </c>
      <c r="B5" s="195" t="s">
        <v>9</v>
      </c>
      <c r="C5" s="195" t="s">
        <v>46</v>
      </c>
      <c r="D5" s="196">
        <v>8</v>
      </c>
      <c r="E5" s="197">
        <v>30080</v>
      </c>
      <c r="F5" s="198">
        <v>3704</v>
      </c>
      <c r="G5" s="199">
        <v>13</v>
      </c>
      <c r="H5" s="425"/>
      <c r="I5" s="249">
        <v>4.016</v>
      </c>
      <c r="J5" s="249">
        <v>2.4409999999999998</v>
      </c>
      <c r="K5" s="250">
        <v>4.9530000000000003</v>
      </c>
      <c r="L5" s="249"/>
      <c r="M5" s="249">
        <v>2.7010000000000001</v>
      </c>
      <c r="N5" s="249">
        <v>2.444</v>
      </c>
      <c r="O5" s="249">
        <v>4.1529999999999996</v>
      </c>
      <c r="P5" s="249">
        <v>3.0960000000000001</v>
      </c>
      <c r="Q5" s="230"/>
      <c r="R5" s="243">
        <v>3.4009999999999998</v>
      </c>
      <c r="S5" s="451"/>
      <c r="T5" s="453"/>
      <c r="U5" s="360"/>
      <c r="V5" s="124">
        <f>(0/6)*100</f>
        <v>0</v>
      </c>
      <c r="W5" s="434"/>
      <c r="X5" s="430"/>
    </row>
    <row r="6" spans="1:24" x14ac:dyDescent="0.2">
      <c r="A6" s="183" t="s">
        <v>6</v>
      </c>
      <c r="B6" s="184" t="s">
        <v>12</v>
      </c>
      <c r="C6" s="184" t="s">
        <v>47</v>
      </c>
      <c r="D6" s="185">
        <v>24</v>
      </c>
      <c r="E6" s="186">
        <v>10240</v>
      </c>
      <c r="F6" s="187">
        <v>500</v>
      </c>
      <c r="G6" s="200">
        <v>4</v>
      </c>
      <c r="H6" s="425"/>
      <c r="I6" s="249">
        <v>4.1989999999999998</v>
      </c>
      <c r="J6" s="249">
        <v>4.9320000000000004</v>
      </c>
      <c r="K6" s="250">
        <v>5.57</v>
      </c>
      <c r="L6" s="249"/>
      <c r="M6" s="249">
        <v>4.4260000000000002</v>
      </c>
      <c r="N6" s="249">
        <v>3.3610000000000002</v>
      </c>
      <c r="O6" s="249">
        <v>4.4530000000000003</v>
      </c>
      <c r="P6" s="249">
        <v>2.548</v>
      </c>
      <c r="Q6" s="230"/>
      <c r="R6" s="247">
        <v>4.2130000000000001</v>
      </c>
      <c r="S6" s="450">
        <v>3.944</v>
      </c>
      <c r="T6" s="453"/>
      <c r="U6" s="360"/>
      <c r="V6" s="124">
        <f>(1/7)*100</f>
        <v>14.285714285714285</v>
      </c>
      <c r="W6" s="432">
        <f>(2/21)*100</f>
        <v>9.5238095238095237</v>
      </c>
      <c r="X6" s="430"/>
    </row>
    <row r="7" spans="1:24" x14ac:dyDescent="0.2">
      <c r="A7" s="189" t="s">
        <v>6</v>
      </c>
      <c r="B7" s="190" t="s">
        <v>12</v>
      </c>
      <c r="C7" s="190" t="s">
        <v>47</v>
      </c>
      <c r="D7" s="191">
        <v>24</v>
      </c>
      <c r="E7" s="192">
        <v>20240</v>
      </c>
      <c r="F7" s="181">
        <v>926</v>
      </c>
      <c r="G7" s="201">
        <v>7</v>
      </c>
      <c r="H7" s="425"/>
      <c r="I7" s="249">
        <v>4.1589999999999998</v>
      </c>
      <c r="J7" s="249">
        <v>4.008</v>
      </c>
      <c r="K7" s="250">
        <v>5.1689999999999996</v>
      </c>
      <c r="L7" s="249"/>
      <c r="M7" s="249">
        <v>4.6680000000000001</v>
      </c>
      <c r="N7" s="249">
        <v>1.3440000000000001</v>
      </c>
      <c r="O7" s="249">
        <v>4.1260000000000003</v>
      </c>
      <c r="P7" s="249">
        <v>3.6419999999999999</v>
      </c>
      <c r="Q7" s="230"/>
      <c r="R7" s="243">
        <v>3.8740000000000001</v>
      </c>
      <c r="S7" s="451"/>
      <c r="T7" s="453"/>
      <c r="U7" s="360"/>
      <c r="V7" s="124">
        <f>(1/7)*100</f>
        <v>14.285714285714285</v>
      </c>
      <c r="W7" s="433"/>
      <c r="X7" s="430"/>
    </row>
    <row r="8" spans="1:24" x14ac:dyDescent="0.2">
      <c r="A8" s="194" t="s">
        <v>6</v>
      </c>
      <c r="B8" s="195" t="s">
        <v>12</v>
      </c>
      <c r="C8" s="195" t="s">
        <v>47</v>
      </c>
      <c r="D8" s="196">
        <v>24</v>
      </c>
      <c r="E8" s="197">
        <v>30240</v>
      </c>
      <c r="F8" s="198">
        <v>3704</v>
      </c>
      <c r="G8" s="199">
        <v>15</v>
      </c>
      <c r="H8" s="425"/>
      <c r="I8" s="249">
        <v>4.3369999999999997</v>
      </c>
      <c r="J8" s="249">
        <v>4.0549999999999997</v>
      </c>
      <c r="K8" s="250">
        <v>4.0860000000000003</v>
      </c>
      <c r="L8" s="249"/>
      <c r="M8" s="249">
        <v>3.4540000000000002</v>
      </c>
      <c r="N8" s="249">
        <v>1.958</v>
      </c>
      <c r="O8" s="249">
        <v>4.3109999999999999</v>
      </c>
      <c r="P8" s="249">
        <v>4.0229999999999997</v>
      </c>
      <c r="Q8" s="230"/>
      <c r="R8" s="243">
        <v>3.746</v>
      </c>
      <c r="S8" s="451"/>
      <c r="T8" s="453"/>
      <c r="U8" s="360"/>
      <c r="V8" s="124">
        <f>(0/7)*100</f>
        <v>0</v>
      </c>
      <c r="W8" s="434"/>
      <c r="X8" s="430"/>
    </row>
    <row r="9" spans="1:24" x14ac:dyDescent="0.2">
      <c r="A9" s="183" t="s">
        <v>6</v>
      </c>
      <c r="B9" s="202" t="s">
        <v>13</v>
      </c>
      <c r="C9" s="184" t="s">
        <v>48</v>
      </c>
      <c r="D9" s="185">
        <v>40</v>
      </c>
      <c r="E9" s="186">
        <v>10400</v>
      </c>
      <c r="F9" s="187">
        <v>500</v>
      </c>
      <c r="G9" s="200">
        <v>3</v>
      </c>
      <c r="H9" s="425"/>
      <c r="I9" s="249">
        <v>3.9710000000000001</v>
      </c>
      <c r="J9" s="249">
        <v>4.7779999999999996</v>
      </c>
      <c r="K9" s="250">
        <v>4.7220000000000004</v>
      </c>
      <c r="L9" s="249"/>
      <c r="M9" s="249">
        <v>4.7850000000000001</v>
      </c>
      <c r="N9" s="249">
        <v>4.07</v>
      </c>
      <c r="O9" s="249">
        <v>4.12</v>
      </c>
      <c r="P9" s="250"/>
      <c r="Q9" s="242">
        <v>3.9950000000000001</v>
      </c>
      <c r="R9" s="247">
        <v>4.3490000000000002</v>
      </c>
      <c r="S9" s="442">
        <v>4.1029999999999998</v>
      </c>
      <c r="T9" s="453"/>
      <c r="U9" s="360"/>
      <c r="V9" s="124">
        <f>(0/7)*100</f>
        <v>0</v>
      </c>
      <c r="W9" s="432">
        <f>(1/21)*100</f>
        <v>4.7619047619047619</v>
      </c>
      <c r="X9" s="430"/>
    </row>
    <row r="10" spans="1:24" x14ac:dyDescent="0.2">
      <c r="A10" s="189" t="s">
        <v>6</v>
      </c>
      <c r="B10" s="203" t="s">
        <v>13</v>
      </c>
      <c r="C10" s="190" t="s">
        <v>48</v>
      </c>
      <c r="D10" s="191">
        <v>40</v>
      </c>
      <c r="E10" s="192">
        <v>20400</v>
      </c>
      <c r="F10" s="181">
        <v>926</v>
      </c>
      <c r="G10" s="201">
        <v>7</v>
      </c>
      <c r="H10" s="425"/>
      <c r="I10" s="249">
        <v>3.899</v>
      </c>
      <c r="J10" s="249">
        <v>5.3120000000000003</v>
      </c>
      <c r="K10" s="250">
        <v>4.5369999999999999</v>
      </c>
      <c r="L10" s="249"/>
      <c r="M10" s="249">
        <v>4.8849999999999998</v>
      </c>
      <c r="N10" s="249">
        <v>3.944</v>
      </c>
      <c r="O10" s="249">
        <v>4.7549999999999999</v>
      </c>
      <c r="P10" s="250"/>
      <c r="Q10" s="242">
        <v>3.3220000000000001</v>
      </c>
      <c r="R10" s="247">
        <v>4.3789999999999996</v>
      </c>
      <c r="S10" s="443"/>
      <c r="T10" s="453"/>
      <c r="U10" s="360"/>
      <c r="V10" s="124">
        <f>(1/7)*100</f>
        <v>14.285714285714285</v>
      </c>
      <c r="W10" s="433"/>
      <c r="X10" s="430"/>
    </row>
    <row r="11" spans="1:24" x14ac:dyDescent="0.2">
      <c r="A11" s="194" t="s">
        <v>6</v>
      </c>
      <c r="B11" s="204" t="s">
        <v>13</v>
      </c>
      <c r="C11" s="195" t="s">
        <v>48</v>
      </c>
      <c r="D11" s="196">
        <v>40</v>
      </c>
      <c r="E11" s="197">
        <v>30400</v>
      </c>
      <c r="F11" s="198">
        <v>3704</v>
      </c>
      <c r="G11" s="199">
        <v>13</v>
      </c>
      <c r="H11" s="426"/>
      <c r="I11" s="249">
        <v>3.6749999999999998</v>
      </c>
      <c r="J11" s="249">
        <v>4.4850000000000003</v>
      </c>
      <c r="K11" s="250">
        <v>4.4409999999999998</v>
      </c>
      <c r="L11" s="249"/>
      <c r="M11" s="249">
        <v>3.0779999999999998</v>
      </c>
      <c r="N11" s="249">
        <v>2.1459999999999999</v>
      </c>
      <c r="O11" s="249">
        <v>4.16</v>
      </c>
      <c r="P11" s="250"/>
      <c r="Q11" s="242">
        <v>3.09</v>
      </c>
      <c r="R11" s="243">
        <v>3.5819999999999999</v>
      </c>
      <c r="S11" s="443"/>
      <c r="T11" s="453"/>
      <c r="U11" s="361"/>
      <c r="V11" s="124">
        <f>(0/7)*100</f>
        <v>0</v>
      </c>
      <c r="W11" s="434"/>
      <c r="X11" s="431"/>
    </row>
    <row r="12" spans="1:24" x14ac:dyDescent="0.2">
      <c r="A12" s="183" t="s">
        <v>6</v>
      </c>
      <c r="B12" s="205" t="s">
        <v>50</v>
      </c>
      <c r="C12" s="205" t="s">
        <v>51</v>
      </c>
      <c r="D12" s="185">
        <v>53</v>
      </c>
      <c r="E12" s="186">
        <v>10530</v>
      </c>
      <c r="F12" s="187">
        <v>500</v>
      </c>
      <c r="G12" s="200">
        <v>6.5</v>
      </c>
      <c r="H12" s="424" t="s">
        <v>83</v>
      </c>
      <c r="I12" s="249">
        <v>3.492</v>
      </c>
      <c r="J12" s="249">
        <v>4.0270000000000001</v>
      </c>
      <c r="K12" s="250">
        <v>5.9390000000000001</v>
      </c>
      <c r="L12" s="249"/>
      <c r="M12" s="249">
        <v>3.657</v>
      </c>
      <c r="N12" s="249">
        <v>2.4820000000000002</v>
      </c>
      <c r="O12" s="249">
        <v>3.7549999999999999</v>
      </c>
      <c r="P12" s="230"/>
      <c r="Q12" s="242">
        <v>3.7909999999999999</v>
      </c>
      <c r="R12" s="243">
        <v>3.8769999999999998</v>
      </c>
      <c r="S12" s="450">
        <v>3.8580000000000001</v>
      </c>
      <c r="T12" s="452">
        <v>3.883</v>
      </c>
      <c r="U12" s="359">
        <v>5</v>
      </c>
      <c r="V12" s="124">
        <f>(1/7)*100</f>
        <v>14.285714285714285</v>
      </c>
      <c r="W12" s="432">
        <f>(3/21)*100</f>
        <v>14.285714285714285</v>
      </c>
      <c r="X12" s="429">
        <f>(4/42)*100</f>
        <v>9.5238095238095237</v>
      </c>
    </row>
    <row r="13" spans="1:24" x14ac:dyDescent="0.2">
      <c r="A13" s="189" t="s">
        <v>6</v>
      </c>
      <c r="B13" s="206" t="s">
        <v>50</v>
      </c>
      <c r="C13" s="206" t="s">
        <v>51</v>
      </c>
      <c r="D13" s="191">
        <v>53</v>
      </c>
      <c r="E13" s="192">
        <v>20530</v>
      </c>
      <c r="F13" s="181">
        <v>926</v>
      </c>
      <c r="G13" s="201">
        <v>7</v>
      </c>
      <c r="H13" s="425"/>
      <c r="I13" s="249">
        <v>3.1259999999999999</v>
      </c>
      <c r="J13" s="249">
        <v>4.6790000000000003</v>
      </c>
      <c r="K13" s="250">
        <v>5.5279999999999996</v>
      </c>
      <c r="L13" s="249"/>
      <c r="M13" s="249">
        <v>3.718</v>
      </c>
      <c r="N13" s="249">
        <v>2.67</v>
      </c>
      <c r="O13" s="249">
        <v>3.6840000000000002</v>
      </c>
      <c r="P13" s="230"/>
      <c r="Q13" s="242">
        <v>3.6819999999999999</v>
      </c>
      <c r="R13" s="243">
        <v>3.8690000000000002</v>
      </c>
      <c r="S13" s="451"/>
      <c r="T13" s="453"/>
      <c r="U13" s="360"/>
      <c r="V13" s="124">
        <f>(1/7)*100</f>
        <v>14.285714285714285</v>
      </c>
      <c r="W13" s="433"/>
      <c r="X13" s="430"/>
    </row>
    <row r="14" spans="1:24" x14ac:dyDescent="0.2">
      <c r="A14" s="194" t="s">
        <v>6</v>
      </c>
      <c r="B14" s="207" t="s">
        <v>50</v>
      </c>
      <c r="C14" s="207" t="s">
        <v>51</v>
      </c>
      <c r="D14" s="196">
        <v>53</v>
      </c>
      <c r="E14" s="197">
        <v>30530</v>
      </c>
      <c r="F14" s="198">
        <v>3704</v>
      </c>
      <c r="G14" s="199">
        <v>14</v>
      </c>
      <c r="H14" s="425"/>
      <c r="I14" s="249">
        <v>3.1989999999999998</v>
      </c>
      <c r="J14" s="249">
        <v>4.1150000000000002</v>
      </c>
      <c r="K14" s="250">
        <v>5.8550000000000004</v>
      </c>
      <c r="L14" s="249"/>
      <c r="M14" s="249">
        <v>3.35</v>
      </c>
      <c r="N14" s="249">
        <v>3.0470000000000002</v>
      </c>
      <c r="O14" s="249">
        <v>3.0830000000000002</v>
      </c>
      <c r="P14" s="230"/>
      <c r="Q14" s="242">
        <v>4.1509999999999998</v>
      </c>
      <c r="R14" s="243">
        <v>3.8279999999999998</v>
      </c>
      <c r="S14" s="451"/>
      <c r="T14" s="453"/>
      <c r="U14" s="360"/>
      <c r="V14" s="124">
        <f>(2/7)*100</f>
        <v>28.571428571428569</v>
      </c>
      <c r="W14" s="434"/>
      <c r="X14" s="430"/>
    </row>
    <row r="15" spans="1:24" x14ac:dyDescent="0.2">
      <c r="A15" s="183" t="s">
        <v>6</v>
      </c>
      <c r="B15" s="205" t="s">
        <v>49</v>
      </c>
      <c r="C15" s="205" t="s">
        <v>52</v>
      </c>
      <c r="D15" s="185">
        <v>56</v>
      </c>
      <c r="E15" s="186">
        <v>10560</v>
      </c>
      <c r="F15" s="187">
        <v>500</v>
      </c>
      <c r="G15" s="200">
        <v>3.5</v>
      </c>
      <c r="H15" s="425"/>
      <c r="I15" s="249">
        <v>3.915</v>
      </c>
      <c r="J15" s="249">
        <v>4.5209999999999999</v>
      </c>
      <c r="K15" s="250">
        <v>3.1760000000000002</v>
      </c>
      <c r="L15" s="249"/>
      <c r="M15" s="249">
        <v>4.3609999999999998</v>
      </c>
      <c r="N15" s="249">
        <v>3.2810000000000001</v>
      </c>
      <c r="O15" s="249">
        <v>3.9550000000000001</v>
      </c>
      <c r="P15" s="235"/>
      <c r="Q15" s="242">
        <v>3.0310000000000001</v>
      </c>
      <c r="R15" s="243">
        <v>3.7490000000000001</v>
      </c>
      <c r="S15" s="450">
        <v>3.9079999999999999</v>
      </c>
      <c r="T15" s="453"/>
      <c r="U15" s="360"/>
      <c r="V15" s="124">
        <f>(0/7)*100</f>
        <v>0</v>
      </c>
      <c r="W15" s="432">
        <f>(1/21)*100</f>
        <v>4.7619047619047619</v>
      </c>
      <c r="X15" s="430"/>
    </row>
    <row r="16" spans="1:24" x14ac:dyDescent="0.2">
      <c r="A16" s="189" t="s">
        <v>6</v>
      </c>
      <c r="B16" s="206" t="s">
        <v>49</v>
      </c>
      <c r="C16" s="206" t="s">
        <v>52</v>
      </c>
      <c r="D16" s="191">
        <v>56</v>
      </c>
      <c r="E16" s="181">
        <v>20560</v>
      </c>
      <c r="F16" s="181">
        <v>926</v>
      </c>
      <c r="G16" s="201">
        <v>5</v>
      </c>
      <c r="H16" s="425"/>
      <c r="I16" s="249">
        <v>3.419</v>
      </c>
      <c r="J16" s="249">
        <v>4.4980000000000002</v>
      </c>
      <c r="K16" s="250">
        <v>4.5170000000000003</v>
      </c>
      <c r="L16" s="249"/>
      <c r="M16" s="249">
        <v>4.3899999999999997</v>
      </c>
      <c r="N16" s="249">
        <v>3.4350000000000001</v>
      </c>
      <c r="O16" s="249">
        <v>4.13</v>
      </c>
      <c r="P16" s="235"/>
      <c r="Q16" s="242">
        <v>3.2589999999999999</v>
      </c>
      <c r="R16" s="243">
        <v>3.95</v>
      </c>
      <c r="S16" s="451"/>
      <c r="T16" s="453"/>
      <c r="U16" s="360"/>
      <c r="V16" s="124">
        <f>(0/7)*100</f>
        <v>0</v>
      </c>
      <c r="W16" s="433"/>
      <c r="X16" s="430"/>
    </row>
    <row r="17" spans="1:24" x14ac:dyDescent="0.2">
      <c r="A17" s="194" t="s">
        <v>6</v>
      </c>
      <c r="B17" s="207" t="s">
        <v>49</v>
      </c>
      <c r="C17" s="207" t="s">
        <v>52</v>
      </c>
      <c r="D17" s="196">
        <v>56</v>
      </c>
      <c r="E17" s="198">
        <v>30560</v>
      </c>
      <c r="F17" s="198">
        <v>3704</v>
      </c>
      <c r="G17" s="199">
        <v>16</v>
      </c>
      <c r="H17" s="426"/>
      <c r="I17" s="249">
        <v>3.762</v>
      </c>
      <c r="J17" s="249">
        <v>4.7830000000000004</v>
      </c>
      <c r="K17" s="250">
        <v>5.1680000000000001</v>
      </c>
      <c r="L17" s="249"/>
      <c r="M17" s="249">
        <v>4.5529999999999999</v>
      </c>
      <c r="N17" s="249">
        <v>2.77</v>
      </c>
      <c r="O17" s="249">
        <v>3.6320000000000001</v>
      </c>
      <c r="P17" s="235"/>
      <c r="Q17" s="242">
        <v>3.5150000000000001</v>
      </c>
      <c r="R17" s="247">
        <v>4.0259999999999998</v>
      </c>
      <c r="S17" s="451"/>
      <c r="T17" s="453"/>
      <c r="U17" s="361"/>
      <c r="V17" s="124">
        <f>(1/7)*100</f>
        <v>14.285714285714285</v>
      </c>
      <c r="W17" s="434"/>
      <c r="X17" s="431"/>
    </row>
    <row r="18" spans="1:24" x14ac:dyDescent="0.2">
      <c r="A18" s="183" t="s">
        <v>6</v>
      </c>
      <c r="B18" s="205" t="s">
        <v>16</v>
      </c>
      <c r="C18" s="205" t="s">
        <v>53</v>
      </c>
      <c r="D18" s="185">
        <v>64</v>
      </c>
      <c r="E18" s="187">
        <v>10640</v>
      </c>
      <c r="F18" s="187">
        <v>500</v>
      </c>
      <c r="G18" s="200">
        <v>6</v>
      </c>
      <c r="H18" s="424" t="s">
        <v>88</v>
      </c>
      <c r="I18" s="249">
        <v>6.0279999999999996</v>
      </c>
      <c r="J18" s="249">
        <v>5.6029999999999998</v>
      </c>
      <c r="K18" s="250">
        <v>5.9939999999999998</v>
      </c>
      <c r="L18" s="249"/>
      <c r="M18" s="249">
        <v>5.1680000000000001</v>
      </c>
      <c r="N18" s="249">
        <v>5.0739999999999998</v>
      </c>
      <c r="O18" s="249">
        <v>3.4969999999999999</v>
      </c>
      <c r="P18" s="235"/>
      <c r="Q18" s="242">
        <v>3.26</v>
      </c>
      <c r="R18" s="247">
        <v>4.9459999999999997</v>
      </c>
      <c r="S18" s="442">
        <v>4.8109999999999999</v>
      </c>
      <c r="T18" s="446">
        <v>4.8179999999999996</v>
      </c>
      <c r="U18" s="359">
        <v>5</v>
      </c>
      <c r="V18" s="124">
        <f>(5/7)*100</f>
        <v>71.428571428571431</v>
      </c>
      <c r="W18" s="432">
        <f>(12/21)*100</f>
        <v>57.142857142857139</v>
      </c>
      <c r="X18" s="429">
        <f>(21/42)*100</f>
        <v>50</v>
      </c>
    </row>
    <row r="19" spans="1:24" x14ac:dyDescent="0.2">
      <c r="A19" s="189" t="s">
        <v>6</v>
      </c>
      <c r="B19" s="206" t="s">
        <v>16</v>
      </c>
      <c r="C19" s="206" t="s">
        <v>53</v>
      </c>
      <c r="D19" s="191">
        <v>64</v>
      </c>
      <c r="E19" s="181">
        <v>20640</v>
      </c>
      <c r="F19" s="181">
        <v>926</v>
      </c>
      <c r="G19" s="201">
        <v>10</v>
      </c>
      <c r="H19" s="425"/>
      <c r="I19" s="249">
        <v>6.1619999999999999</v>
      </c>
      <c r="J19" s="249">
        <v>5.48</v>
      </c>
      <c r="K19" s="250">
        <v>6.9089999999999998</v>
      </c>
      <c r="L19" s="249"/>
      <c r="M19" s="249">
        <v>5.04</v>
      </c>
      <c r="N19" s="249">
        <v>5.3120000000000003</v>
      </c>
      <c r="O19" s="249">
        <v>3.8</v>
      </c>
      <c r="P19" s="235"/>
      <c r="Q19" s="242">
        <v>3.032</v>
      </c>
      <c r="R19" s="248">
        <v>5.1050000000000004</v>
      </c>
      <c r="S19" s="443"/>
      <c r="T19" s="423"/>
      <c r="U19" s="360"/>
      <c r="V19" s="124">
        <f>(5/7)*100</f>
        <v>71.428571428571431</v>
      </c>
      <c r="W19" s="433"/>
      <c r="X19" s="430"/>
    </row>
    <row r="20" spans="1:24" x14ac:dyDescent="0.2">
      <c r="A20" s="194" t="s">
        <v>6</v>
      </c>
      <c r="B20" s="207" t="s">
        <v>16</v>
      </c>
      <c r="C20" s="207" t="s">
        <v>53</v>
      </c>
      <c r="D20" s="196">
        <v>64</v>
      </c>
      <c r="E20" s="198">
        <v>30640</v>
      </c>
      <c r="F20" s="198">
        <v>3704</v>
      </c>
      <c r="G20" s="199">
        <v>19</v>
      </c>
      <c r="H20" s="425"/>
      <c r="I20" s="249">
        <v>4.2240000000000002</v>
      </c>
      <c r="J20" s="249">
        <v>5.1660000000000004</v>
      </c>
      <c r="K20" s="250">
        <v>5.6269999999999998</v>
      </c>
      <c r="L20" s="249"/>
      <c r="M20" s="249">
        <v>3.9350000000000001</v>
      </c>
      <c r="N20" s="249">
        <v>3.8210000000000002</v>
      </c>
      <c r="O20" s="249">
        <v>4.2809999999999997</v>
      </c>
      <c r="P20" s="235"/>
      <c r="Q20" s="242">
        <v>3.6160000000000001</v>
      </c>
      <c r="R20" s="247">
        <v>4.3819999999999997</v>
      </c>
      <c r="S20" s="443"/>
      <c r="T20" s="423"/>
      <c r="U20" s="360"/>
      <c r="V20" s="124">
        <f>(2/7)*100</f>
        <v>28.571428571428569</v>
      </c>
      <c r="W20" s="434"/>
      <c r="X20" s="430"/>
    </row>
    <row r="21" spans="1:24" x14ac:dyDescent="0.2">
      <c r="A21" s="183" t="s">
        <v>19</v>
      </c>
      <c r="B21" s="205" t="s">
        <v>20</v>
      </c>
      <c r="C21" s="205" t="s">
        <v>54</v>
      </c>
      <c r="D21" s="185">
        <v>72</v>
      </c>
      <c r="E21" s="187">
        <v>10720</v>
      </c>
      <c r="F21" s="187">
        <v>500</v>
      </c>
      <c r="G21" s="200">
        <v>3</v>
      </c>
      <c r="H21" s="425"/>
      <c r="I21" s="249">
        <v>6.141</v>
      </c>
      <c r="J21" s="249">
        <v>5.7130000000000001</v>
      </c>
      <c r="K21" s="250">
        <v>4.5410000000000004</v>
      </c>
      <c r="L21" s="249"/>
      <c r="M21" s="249">
        <v>4.0679999999999996</v>
      </c>
      <c r="N21" s="249">
        <v>5.17</v>
      </c>
      <c r="O21" s="250"/>
      <c r="P21" s="249">
        <v>4.4359999999999999</v>
      </c>
      <c r="Q21" s="242">
        <v>4.1520000000000001</v>
      </c>
      <c r="R21" s="247">
        <v>4.8890000000000002</v>
      </c>
      <c r="S21" s="442">
        <v>4.8239999999999998</v>
      </c>
      <c r="T21" s="423"/>
      <c r="U21" s="360"/>
      <c r="V21" s="124">
        <f>(3/7)*100</f>
        <v>42.857142857142854</v>
      </c>
      <c r="W21" s="432">
        <f>(9/21)*100</f>
        <v>42.857142857142854</v>
      </c>
      <c r="X21" s="430"/>
    </row>
    <row r="22" spans="1:24" x14ac:dyDescent="0.2">
      <c r="A22" s="189" t="s">
        <v>19</v>
      </c>
      <c r="B22" s="206" t="s">
        <v>20</v>
      </c>
      <c r="C22" s="206" t="s">
        <v>54</v>
      </c>
      <c r="D22" s="191">
        <v>72</v>
      </c>
      <c r="E22" s="181">
        <v>20720</v>
      </c>
      <c r="F22" s="181">
        <v>926</v>
      </c>
      <c r="G22" s="201">
        <v>6</v>
      </c>
      <c r="H22" s="425"/>
      <c r="I22" s="249">
        <v>6.0380000000000003</v>
      </c>
      <c r="J22" s="249">
        <v>6.0030000000000001</v>
      </c>
      <c r="K22" s="250">
        <v>4.7480000000000002</v>
      </c>
      <c r="L22" s="249"/>
      <c r="M22" s="249">
        <v>3.9940000000000002</v>
      </c>
      <c r="N22" s="249">
        <v>5.0940000000000003</v>
      </c>
      <c r="O22" s="250"/>
      <c r="P22" s="249">
        <v>5.0039999999999996</v>
      </c>
      <c r="Q22" s="242">
        <v>4.0439999999999996</v>
      </c>
      <c r="R22" s="247">
        <v>4.9889999999999999</v>
      </c>
      <c r="S22" s="443"/>
      <c r="T22" s="423"/>
      <c r="U22" s="360"/>
      <c r="V22" s="124">
        <f>(4/7)*100</f>
        <v>57.142857142857139</v>
      </c>
      <c r="W22" s="433"/>
      <c r="X22" s="430"/>
    </row>
    <row r="23" spans="1:24" x14ac:dyDescent="0.2">
      <c r="A23" s="194" t="s">
        <v>19</v>
      </c>
      <c r="B23" s="207" t="s">
        <v>20</v>
      </c>
      <c r="C23" s="207" t="s">
        <v>54</v>
      </c>
      <c r="D23" s="196">
        <v>72</v>
      </c>
      <c r="E23" s="198">
        <v>30720</v>
      </c>
      <c r="F23" s="198">
        <v>3704</v>
      </c>
      <c r="G23" s="199">
        <v>14</v>
      </c>
      <c r="H23" s="426"/>
      <c r="I23" s="249">
        <v>5.87</v>
      </c>
      <c r="J23" s="249">
        <v>4.5730000000000004</v>
      </c>
      <c r="K23" s="250">
        <v>3.9569999999999999</v>
      </c>
      <c r="L23" s="249"/>
      <c r="M23" s="249">
        <v>4.5880000000000001</v>
      </c>
      <c r="N23" s="249">
        <v>5.16</v>
      </c>
      <c r="O23" s="250"/>
      <c r="P23" s="249">
        <v>4.3890000000000002</v>
      </c>
      <c r="Q23" s="242">
        <v>3.6280000000000001</v>
      </c>
      <c r="R23" s="247">
        <v>4.5949999999999998</v>
      </c>
      <c r="S23" s="443"/>
      <c r="T23" s="423"/>
      <c r="U23" s="361"/>
      <c r="V23" s="124">
        <f>(2/7)*100</f>
        <v>28.571428571428569</v>
      </c>
      <c r="W23" s="434"/>
      <c r="X23" s="431"/>
    </row>
    <row r="24" spans="1:24" x14ac:dyDescent="0.2">
      <c r="A24" s="183" t="s">
        <v>19</v>
      </c>
      <c r="B24" s="208" t="s">
        <v>24</v>
      </c>
      <c r="C24" s="208" t="s">
        <v>25</v>
      </c>
      <c r="D24" s="185">
        <v>601</v>
      </c>
      <c r="E24" s="209">
        <v>16010</v>
      </c>
      <c r="F24" s="187">
        <v>500</v>
      </c>
      <c r="G24" s="200">
        <v>6</v>
      </c>
      <c r="H24" s="424" t="s">
        <v>84</v>
      </c>
      <c r="I24" s="249">
        <v>7.0060000000000002</v>
      </c>
      <c r="J24" s="249">
        <v>5.2839999999999998</v>
      </c>
      <c r="K24" s="250"/>
      <c r="L24" s="250"/>
      <c r="M24" s="249">
        <v>4.7409999999999997</v>
      </c>
      <c r="N24" s="249">
        <v>5.157</v>
      </c>
      <c r="O24" s="250"/>
      <c r="P24" s="249">
        <v>4.4800000000000004</v>
      </c>
      <c r="Q24" s="242">
        <v>4.7069999999999999</v>
      </c>
      <c r="R24" s="248">
        <v>5.2290000000000001</v>
      </c>
      <c r="S24" s="442">
        <v>4.9589999999999996</v>
      </c>
      <c r="T24" s="444">
        <v>5.0679999999999996</v>
      </c>
      <c r="U24" s="359">
        <v>5</v>
      </c>
      <c r="V24" s="124">
        <f>(3/6)*100</f>
        <v>50</v>
      </c>
      <c r="W24" s="432">
        <f>(10/20)*100</f>
        <v>50</v>
      </c>
      <c r="X24" s="429">
        <f>(20/38)*100</f>
        <v>52.631578947368418</v>
      </c>
    </row>
    <row r="25" spans="1:24" x14ac:dyDescent="0.2">
      <c r="A25" s="189" t="s">
        <v>19</v>
      </c>
      <c r="B25" s="182" t="s">
        <v>24</v>
      </c>
      <c r="C25" s="182" t="s">
        <v>25</v>
      </c>
      <c r="D25" s="191">
        <v>601</v>
      </c>
      <c r="E25" s="210">
        <v>26010</v>
      </c>
      <c r="F25" s="181">
        <v>926</v>
      </c>
      <c r="G25" s="201">
        <v>16</v>
      </c>
      <c r="H25" s="425"/>
      <c r="I25" s="249">
        <v>6.5010000000000003</v>
      </c>
      <c r="J25" s="249">
        <v>5.375</v>
      </c>
      <c r="K25" s="231"/>
      <c r="L25" s="250">
        <v>4.9169999999999998</v>
      </c>
      <c r="M25" s="249">
        <v>3.798</v>
      </c>
      <c r="N25" s="249">
        <v>5.3579999999999997</v>
      </c>
      <c r="O25" s="250"/>
      <c r="P25" s="249">
        <v>4.2649999999999997</v>
      </c>
      <c r="Q25" s="242">
        <v>4.2789999999999999</v>
      </c>
      <c r="R25" s="247">
        <v>4.9279999999999999</v>
      </c>
      <c r="S25" s="443"/>
      <c r="T25" s="445"/>
      <c r="U25" s="360"/>
      <c r="V25" s="124">
        <f>(3/7)*100</f>
        <v>42.857142857142854</v>
      </c>
      <c r="W25" s="433"/>
      <c r="X25" s="430"/>
    </row>
    <row r="26" spans="1:24" x14ac:dyDescent="0.2">
      <c r="A26" s="194" t="s">
        <v>19</v>
      </c>
      <c r="B26" s="211" t="s">
        <v>24</v>
      </c>
      <c r="C26" s="211" t="s">
        <v>25</v>
      </c>
      <c r="D26" s="196">
        <v>601</v>
      </c>
      <c r="E26" s="212">
        <v>36010</v>
      </c>
      <c r="F26" s="198">
        <v>3704</v>
      </c>
      <c r="G26" s="199">
        <v>27</v>
      </c>
      <c r="H26" s="425"/>
      <c r="I26" s="249">
        <v>5.8440000000000003</v>
      </c>
      <c r="J26" s="249">
        <v>5.351</v>
      </c>
      <c r="K26" s="231"/>
      <c r="L26" s="250">
        <v>5.0860000000000003</v>
      </c>
      <c r="M26" s="249">
        <v>3.1739999999999999</v>
      </c>
      <c r="N26" s="249">
        <v>5.0830000000000002</v>
      </c>
      <c r="O26" s="250"/>
      <c r="P26" s="249">
        <v>3.9340000000000002</v>
      </c>
      <c r="Q26" s="242">
        <v>4.835</v>
      </c>
      <c r="R26" s="247">
        <v>4.758</v>
      </c>
      <c r="S26" s="443"/>
      <c r="T26" s="445"/>
      <c r="U26" s="360"/>
      <c r="V26" s="124">
        <f>(4/7)*100</f>
        <v>57.142857142857139</v>
      </c>
      <c r="W26" s="434"/>
      <c r="X26" s="430"/>
    </row>
    <row r="27" spans="1:24" x14ac:dyDescent="0.2">
      <c r="A27" s="213" t="s">
        <v>19</v>
      </c>
      <c r="B27" s="208" t="s">
        <v>24</v>
      </c>
      <c r="C27" s="208" t="s">
        <v>78</v>
      </c>
      <c r="D27" s="185">
        <v>82</v>
      </c>
      <c r="E27" s="187">
        <v>10820</v>
      </c>
      <c r="F27" s="187">
        <v>500</v>
      </c>
      <c r="G27" s="200">
        <v>5</v>
      </c>
      <c r="H27" s="425"/>
      <c r="I27" s="249">
        <v>6.1760000000000002</v>
      </c>
      <c r="J27" s="249">
        <v>5.3689999999999998</v>
      </c>
      <c r="K27" s="250"/>
      <c r="L27" s="250"/>
      <c r="M27" s="249">
        <v>4.6520000000000001</v>
      </c>
      <c r="N27" s="249">
        <v>4.78</v>
      </c>
      <c r="O27" s="250"/>
      <c r="P27" s="249">
        <v>5.4169999999999998</v>
      </c>
      <c r="Q27" s="242">
        <v>4.8369999999999997</v>
      </c>
      <c r="R27" s="248">
        <v>5.2050000000000001</v>
      </c>
      <c r="S27" s="440">
        <v>5.1890000000000001</v>
      </c>
      <c r="T27" s="445"/>
      <c r="U27" s="360"/>
      <c r="V27" s="124">
        <f>(3/6)*100</f>
        <v>50</v>
      </c>
      <c r="W27" s="432">
        <f>(10/18)*100</f>
        <v>55.555555555555557</v>
      </c>
      <c r="X27" s="430"/>
    </row>
    <row r="28" spans="1:24" x14ac:dyDescent="0.2">
      <c r="A28" s="214" t="s">
        <v>19</v>
      </c>
      <c r="B28" s="182" t="s">
        <v>24</v>
      </c>
      <c r="C28" s="182" t="s">
        <v>78</v>
      </c>
      <c r="D28" s="191">
        <v>82</v>
      </c>
      <c r="E28" s="181">
        <v>20820</v>
      </c>
      <c r="F28" s="181">
        <v>926</v>
      </c>
      <c r="G28" s="201">
        <v>7</v>
      </c>
      <c r="H28" s="425"/>
      <c r="I28" s="249">
        <v>6.274</v>
      </c>
      <c r="J28" s="249">
        <v>5.2969999999999997</v>
      </c>
      <c r="K28" s="250"/>
      <c r="L28" s="250"/>
      <c r="M28" s="249">
        <v>4.3470000000000004</v>
      </c>
      <c r="N28" s="249">
        <v>5.0750000000000002</v>
      </c>
      <c r="O28" s="250"/>
      <c r="P28" s="249">
        <v>5.3209999999999997</v>
      </c>
      <c r="Q28" s="242">
        <v>4.774</v>
      </c>
      <c r="R28" s="248">
        <v>5.181</v>
      </c>
      <c r="S28" s="441"/>
      <c r="T28" s="445"/>
      <c r="U28" s="360"/>
      <c r="V28" s="124">
        <f>(4/6)*100</f>
        <v>66.666666666666657</v>
      </c>
      <c r="W28" s="433"/>
      <c r="X28" s="430"/>
    </row>
    <row r="29" spans="1:24" x14ac:dyDescent="0.2">
      <c r="A29" s="215" t="s">
        <v>19</v>
      </c>
      <c r="B29" s="211" t="s">
        <v>24</v>
      </c>
      <c r="C29" s="211" t="s">
        <v>78</v>
      </c>
      <c r="D29" s="196">
        <v>82</v>
      </c>
      <c r="E29" s="198">
        <v>30820</v>
      </c>
      <c r="F29" s="198">
        <v>3704</v>
      </c>
      <c r="G29" s="199">
        <v>15</v>
      </c>
      <c r="H29" s="426"/>
      <c r="I29" s="249">
        <v>6.17</v>
      </c>
      <c r="J29" s="249">
        <v>5.01</v>
      </c>
      <c r="K29" s="250"/>
      <c r="L29" s="250"/>
      <c r="M29" s="249">
        <v>5.3090000000000002</v>
      </c>
      <c r="N29" s="249">
        <v>4.7699999999999996</v>
      </c>
      <c r="O29" s="250"/>
      <c r="P29" s="249">
        <v>4.9930000000000003</v>
      </c>
      <c r="Q29" s="242">
        <v>4.8289999999999997</v>
      </c>
      <c r="R29" s="248">
        <v>5.18</v>
      </c>
      <c r="S29" s="441"/>
      <c r="T29" s="445"/>
      <c r="U29" s="361"/>
      <c r="V29" s="124">
        <f>(3/6)*100</f>
        <v>50</v>
      </c>
      <c r="W29" s="434"/>
      <c r="X29" s="431"/>
    </row>
    <row r="30" spans="1:24" ht="15" x14ac:dyDescent="0.2">
      <c r="A30" s="216" t="s">
        <v>6</v>
      </c>
      <c r="B30" s="161" t="s">
        <v>50</v>
      </c>
      <c r="C30" s="161" t="s">
        <v>106</v>
      </c>
      <c r="D30" s="241">
        <v>53</v>
      </c>
      <c r="E30" s="158">
        <v>40530</v>
      </c>
      <c r="F30" s="218">
        <v>8334</v>
      </c>
      <c r="G30" s="219">
        <v>18</v>
      </c>
      <c r="H30" s="222" t="s">
        <v>104</v>
      </c>
      <c r="I30" s="249">
        <v>3.6190000000000002</v>
      </c>
      <c r="J30" s="249">
        <v>4.2649999999999997</v>
      </c>
      <c r="K30" s="250">
        <v>4.5789999999999997</v>
      </c>
      <c r="L30" s="249"/>
      <c r="M30" s="249">
        <v>2.9319999999999999</v>
      </c>
      <c r="N30" s="249">
        <v>2.7919999999999998</v>
      </c>
      <c r="O30" s="249">
        <v>2.9119999999999999</v>
      </c>
      <c r="P30" s="230"/>
      <c r="Q30" s="242">
        <v>3.169</v>
      </c>
      <c r="R30" s="243">
        <v>3.4670000000000001</v>
      </c>
      <c r="S30" s="244">
        <v>3.4670000000000001</v>
      </c>
      <c r="T30" s="246">
        <v>3.4670000000000001</v>
      </c>
      <c r="U30" s="172">
        <v>4.5</v>
      </c>
      <c r="V30" s="124">
        <f>(0/7)*100</f>
        <v>0</v>
      </c>
      <c r="W30" s="124">
        <f>(0/7)*100</f>
        <v>0</v>
      </c>
      <c r="X30" s="145">
        <f>(0/7)*100</f>
        <v>0</v>
      </c>
    </row>
    <row r="31" spans="1:24" ht="15" x14ac:dyDescent="0.2">
      <c r="A31" s="216" t="s">
        <v>19</v>
      </c>
      <c r="B31" s="161" t="s">
        <v>20</v>
      </c>
      <c r="C31" s="161" t="s">
        <v>54</v>
      </c>
      <c r="D31" s="196">
        <v>72</v>
      </c>
      <c r="E31" s="218">
        <v>40720</v>
      </c>
      <c r="F31" s="218">
        <v>7233</v>
      </c>
      <c r="G31" s="219">
        <v>21</v>
      </c>
      <c r="H31" s="223" t="s">
        <v>105</v>
      </c>
      <c r="I31" s="249">
        <v>5.8310000000000004</v>
      </c>
      <c r="J31" s="249">
        <v>5.5910000000000002</v>
      </c>
      <c r="K31" s="250">
        <v>3.085</v>
      </c>
      <c r="L31" s="249"/>
      <c r="M31" s="249">
        <v>4.7229999999999999</v>
      </c>
      <c r="N31" s="249">
        <v>4.9450000000000003</v>
      </c>
      <c r="O31" s="250"/>
      <c r="P31" s="249">
        <v>4.117</v>
      </c>
      <c r="Q31" s="242">
        <v>3.956</v>
      </c>
      <c r="R31" s="247">
        <v>4.6070000000000002</v>
      </c>
      <c r="S31" s="245">
        <v>4.6070000000000002</v>
      </c>
      <c r="T31" s="237">
        <v>4.6070000000000002</v>
      </c>
      <c r="U31" s="172">
        <v>4.5</v>
      </c>
      <c r="V31" s="124">
        <f>(2/7)*100</f>
        <v>28.571428571428569</v>
      </c>
      <c r="W31" s="124">
        <f>(2/7)*100</f>
        <v>28.571428571428569</v>
      </c>
      <c r="X31" s="145">
        <f>(2/7)*100</f>
        <v>28.571428571428569</v>
      </c>
    </row>
    <row r="33" spans="2:20" x14ac:dyDescent="0.2">
      <c r="B33" s="220"/>
      <c r="D33" s="191"/>
      <c r="K33" s="134"/>
      <c r="M33" s="134"/>
      <c r="O33" s="134"/>
      <c r="Q33" s="134"/>
    </row>
    <row r="34" spans="2:20" x14ac:dyDescent="0.2">
      <c r="B34" s="220"/>
      <c r="D34" s="191"/>
      <c r="S34" s="224"/>
      <c r="T34" s="224"/>
    </row>
    <row r="35" spans="2:20" x14ac:dyDescent="0.2">
      <c r="B35" s="220"/>
      <c r="D35" s="191"/>
      <c r="S35" s="224"/>
      <c r="T35" s="224"/>
    </row>
    <row r="36" spans="2:20" x14ac:dyDescent="0.2">
      <c r="B36" s="220"/>
      <c r="D36" s="191"/>
      <c r="R36" s="224"/>
      <c r="S36" s="224"/>
      <c r="T36" s="224"/>
    </row>
    <row r="37" spans="2:20" x14ac:dyDescent="0.2">
      <c r="B37" s="220"/>
      <c r="D37" s="191"/>
      <c r="R37" s="224"/>
      <c r="S37" s="224"/>
      <c r="T37" s="224"/>
    </row>
    <row r="38" spans="2:20" x14ac:dyDescent="0.2">
      <c r="B38" s="220"/>
      <c r="D38" s="191"/>
      <c r="S38" s="224"/>
      <c r="T38" s="224"/>
    </row>
    <row r="39" spans="2:20" x14ac:dyDescent="0.2">
      <c r="S39" s="224"/>
      <c r="T39" s="224"/>
    </row>
    <row r="40" spans="2:20" x14ac:dyDescent="0.2">
      <c r="S40" s="224"/>
      <c r="T40" s="224"/>
    </row>
    <row r="41" spans="2:20" x14ac:dyDescent="0.2">
      <c r="S41" s="224"/>
      <c r="T41" s="224"/>
    </row>
    <row r="42" spans="2:20" x14ac:dyDescent="0.2">
      <c r="S42" s="224"/>
      <c r="T42" s="224"/>
    </row>
    <row r="43" spans="2:20" x14ac:dyDescent="0.2">
      <c r="S43" s="224"/>
      <c r="T43" s="224"/>
    </row>
    <row r="44" spans="2:20" x14ac:dyDescent="0.2">
      <c r="R44" s="224"/>
    </row>
    <row r="45" spans="2:20" x14ac:dyDescent="0.2">
      <c r="R45" s="224"/>
    </row>
    <row r="46" spans="2:20" x14ac:dyDescent="0.2">
      <c r="R46" s="224"/>
    </row>
    <row r="47" spans="2:20" x14ac:dyDescent="0.2">
      <c r="R47" s="224"/>
    </row>
    <row r="48" spans="2:20" x14ac:dyDescent="0.2">
      <c r="R48" s="224"/>
    </row>
    <row r="49" spans="18:18" x14ac:dyDescent="0.2">
      <c r="R49" s="224"/>
    </row>
    <row r="50" spans="18:18" x14ac:dyDescent="0.2">
      <c r="R50" s="224"/>
    </row>
    <row r="51" spans="18:18" x14ac:dyDescent="0.2">
      <c r="R51" s="224"/>
    </row>
    <row r="52" spans="18:18" x14ac:dyDescent="0.2">
      <c r="R52" s="224"/>
    </row>
    <row r="53" spans="18:18" x14ac:dyDescent="0.2">
      <c r="R53" s="224"/>
    </row>
  </sheetData>
  <mergeCells count="36">
    <mergeCell ref="H3:H11"/>
    <mergeCell ref="S3:S5"/>
    <mergeCell ref="T3:T11"/>
    <mergeCell ref="U3:U11"/>
    <mergeCell ref="W3:W5"/>
    <mergeCell ref="S9:S11"/>
    <mergeCell ref="W9:W11"/>
    <mergeCell ref="H12:H17"/>
    <mergeCell ref="S12:S14"/>
    <mergeCell ref="T12:T17"/>
    <mergeCell ref="U12:U17"/>
    <mergeCell ref="W12:W14"/>
    <mergeCell ref="H18:H23"/>
    <mergeCell ref="S18:S20"/>
    <mergeCell ref="T18:T23"/>
    <mergeCell ref="U18:U23"/>
    <mergeCell ref="W18:W20"/>
    <mergeCell ref="S21:S23"/>
    <mergeCell ref="X24:X29"/>
    <mergeCell ref="S27:S29"/>
    <mergeCell ref="W27:W29"/>
    <mergeCell ref="U1:X1"/>
    <mergeCell ref="W21:W23"/>
    <mergeCell ref="X12:X17"/>
    <mergeCell ref="S15:S17"/>
    <mergeCell ref="W15:W17"/>
    <mergeCell ref="X18:X23"/>
    <mergeCell ref="X3:X11"/>
    <mergeCell ref="S6:S8"/>
    <mergeCell ref="W6:W8"/>
    <mergeCell ref="R1:T1"/>
    <mergeCell ref="H24:H29"/>
    <mergeCell ref="S24:S26"/>
    <mergeCell ref="T24:T29"/>
    <mergeCell ref="U24:U29"/>
    <mergeCell ref="W24:W26"/>
  </mergeCells>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3"/>
  <sheetViews>
    <sheetView workbookViewId="0">
      <selection activeCell="D1" sqref="D1:D65536"/>
    </sheetView>
  </sheetViews>
  <sheetFormatPr defaultRowHeight="12.75" x14ac:dyDescent="0.2"/>
  <cols>
    <col min="1" max="1" width="5.7109375" style="12" customWidth="1"/>
    <col min="2" max="2" width="22.85546875" style="15" bestFit="1" customWidth="1"/>
    <col min="3" max="3" width="38" style="15" bestFit="1" customWidth="1"/>
    <col min="4" max="4" width="9.85546875" style="12" customWidth="1"/>
    <col min="5" max="5" width="16.28515625" style="12" customWidth="1"/>
    <col min="6" max="6" width="14.140625" style="15" customWidth="1"/>
    <col min="7" max="7" width="11.28515625" style="15" bestFit="1" customWidth="1"/>
    <col min="8" max="8" width="9.140625" style="15"/>
    <col min="9" max="9" width="9.42578125" style="15" customWidth="1"/>
    <col min="10" max="10" width="8.85546875" style="15" customWidth="1"/>
    <col min="11" max="19" width="9.140625" style="15"/>
    <col min="20" max="20" width="12.140625" style="15" customWidth="1"/>
    <col min="21" max="21" width="11.28515625" style="15" customWidth="1"/>
    <col min="22" max="22" width="9.140625" style="15"/>
    <col min="23" max="23" width="10" style="15" customWidth="1"/>
    <col min="24" max="24" width="10.5703125" style="15" customWidth="1"/>
    <col min="25" max="16384" width="9.140625" style="15"/>
  </cols>
  <sheetData>
    <row r="1" spans="1:24" s="10" customFormat="1" ht="27.95" customHeight="1" x14ac:dyDescent="0.2">
      <c r="A1" s="1" t="s">
        <v>0</v>
      </c>
      <c r="B1" s="2" t="s">
        <v>1</v>
      </c>
      <c r="C1" s="1" t="s">
        <v>2</v>
      </c>
      <c r="D1" s="3" t="s">
        <v>89</v>
      </c>
      <c r="E1" s="3" t="s">
        <v>27</v>
      </c>
      <c r="F1" s="1" t="s">
        <v>4</v>
      </c>
      <c r="G1" s="1" t="s">
        <v>5</v>
      </c>
      <c r="H1" s="3" t="s">
        <v>28</v>
      </c>
      <c r="I1" s="3" t="s">
        <v>29</v>
      </c>
      <c r="J1" s="3" t="s">
        <v>30</v>
      </c>
      <c r="K1" s="3" t="s">
        <v>31</v>
      </c>
      <c r="L1" s="3" t="s">
        <v>32</v>
      </c>
      <c r="M1" s="3" t="s">
        <v>33</v>
      </c>
      <c r="N1" s="3" t="s">
        <v>35</v>
      </c>
      <c r="O1" s="3" t="s">
        <v>36</v>
      </c>
      <c r="P1" s="3" t="s">
        <v>34</v>
      </c>
      <c r="Q1" s="3" t="s">
        <v>37</v>
      </c>
      <c r="R1" s="3" t="s">
        <v>38</v>
      </c>
      <c r="S1" s="3" t="s">
        <v>39</v>
      </c>
      <c r="T1" s="3" t="s">
        <v>40</v>
      </c>
      <c r="U1" s="3" t="s">
        <v>41</v>
      </c>
      <c r="V1" s="3" t="s">
        <v>42</v>
      </c>
      <c r="W1" s="3" t="s">
        <v>43</v>
      </c>
      <c r="X1" s="3" t="s">
        <v>44</v>
      </c>
    </row>
    <row r="2" spans="1:24" s="14" customFormat="1" x14ac:dyDescent="0.2">
      <c r="A2" s="4" t="s">
        <v>6</v>
      </c>
      <c r="B2" s="6" t="s">
        <v>7</v>
      </c>
      <c r="C2" s="4" t="s">
        <v>8</v>
      </c>
      <c r="D2" s="99">
        <v>1</v>
      </c>
      <c r="E2" s="11">
        <v>101</v>
      </c>
      <c r="F2" s="12">
        <v>500</v>
      </c>
      <c r="G2" s="13">
        <v>3</v>
      </c>
      <c r="H2" s="16">
        <v>5.1808053880859237</v>
      </c>
      <c r="I2" s="16">
        <v>4.6929731851099543</v>
      </c>
      <c r="J2" s="16">
        <v>5.096152308271269</v>
      </c>
      <c r="K2" s="16">
        <v>5.274287480923789</v>
      </c>
      <c r="L2" s="16">
        <v>5.5498829848408668</v>
      </c>
      <c r="M2" s="16">
        <v>5.2671492007607315</v>
      </c>
      <c r="N2" s="16">
        <v>4.5279856415588116</v>
      </c>
      <c r="O2" s="16">
        <v>4.1779056802610492</v>
      </c>
      <c r="P2" s="16">
        <v>5.2232329471266228</v>
      </c>
      <c r="Q2" s="16">
        <v>4.7366959724963129</v>
      </c>
      <c r="R2" s="16">
        <v>4.4569747388986904</v>
      </c>
      <c r="S2" s="16">
        <v>4.3183365385832335</v>
      </c>
      <c r="T2" s="16">
        <v>4.7830296475419098</v>
      </c>
      <c r="U2" s="16">
        <v>5.5681374940763577</v>
      </c>
      <c r="V2" s="16">
        <v>5.3302732707329223</v>
      </c>
      <c r="W2" s="16">
        <v>5.3088873428313139</v>
      </c>
      <c r="X2" s="16">
        <v>4.4778377650030361</v>
      </c>
    </row>
    <row r="3" spans="1:24" s="14" customFormat="1" x14ac:dyDescent="0.2">
      <c r="A3" s="4" t="s">
        <v>6</v>
      </c>
      <c r="B3" s="6" t="s">
        <v>7</v>
      </c>
      <c r="C3" s="4" t="s">
        <v>8</v>
      </c>
      <c r="D3" s="99">
        <v>1</v>
      </c>
      <c r="E3" s="11">
        <v>201</v>
      </c>
      <c r="F3" s="12">
        <v>926</v>
      </c>
      <c r="G3" s="13">
        <v>6.5</v>
      </c>
      <c r="H3" s="16">
        <v>5.2480606641397527</v>
      </c>
      <c r="I3" s="16">
        <v>4.7082457845595194</v>
      </c>
      <c r="J3" s="16">
        <v>5.0735506772061001</v>
      </c>
      <c r="K3" s="16">
        <v>5.2640569704534981</v>
      </c>
      <c r="L3" s="16">
        <v>5.5610321694660714</v>
      </c>
      <c r="M3" s="16">
        <v>5.3931272074248398</v>
      </c>
      <c r="N3" s="16">
        <v>4.4693711980471491</v>
      </c>
      <c r="O3" s="16">
        <v>3.6293870904700971</v>
      </c>
      <c r="P3" s="16">
        <v>5.2331235530229439</v>
      </c>
      <c r="Q3" s="16">
        <v>4.566846976046385</v>
      </c>
      <c r="R3" s="16">
        <v>4.1798459821035125</v>
      </c>
      <c r="S3" s="16">
        <v>3.9171902667482503</v>
      </c>
      <c r="T3" s="16">
        <v>4.7634110636371867</v>
      </c>
      <c r="U3" s="16">
        <v>5.3992029345363699</v>
      </c>
      <c r="V3" s="16">
        <v>5.091021081237975</v>
      </c>
      <c r="W3" s="16">
        <v>4.9984245929920927</v>
      </c>
      <c r="X3" s="16">
        <v>4.1986694438930217</v>
      </c>
    </row>
    <row r="4" spans="1:24" s="14" customFormat="1" x14ac:dyDescent="0.2">
      <c r="A4" s="4" t="s">
        <v>6</v>
      </c>
      <c r="B4" s="6" t="s">
        <v>7</v>
      </c>
      <c r="C4" s="4" t="s">
        <v>8</v>
      </c>
      <c r="D4" s="99">
        <v>1</v>
      </c>
      <c r="E4" s="11">
        <v>301</v>
      </c>
      <c r="F4" s="12">
        <v>3704</v>
      </c>
      <c r="G4" s="13">
        <v>13.5</v>
      </c>
      <c r="H4" s="16">
        <v>5.0319970764724165</v>
      </c>
      <c r="I4" s="16">
        <v>4.6300883288360986</v>
      </c>
      <c r="J4" s="16">
        <v>4.6778006412465523</v>
      </c>
      <c r="K4" s="16">
        <v>5.2282259812450969</v>
      </c>
      <c r="L4" s="16">
        <v>5.5644051430931931</v>
      </c>
      <c r="M4" s="16">
        <v>5.2040885890387569</v>
      </c>
      <c r="N4" s="16">
        <v>4.6850085167389235</v>
      </c>
      <c r="O4" s="16">
        <v>3.0631187655215388</v>
      </c>
      <c r="P4" s="16">
        <v>3.944832772921858</v>
      </c>
      <c r="Q4" s="16">
        <v>4.1924473344467463</v>
      </c>
      <c r="R4" s="16">
        <v>4.1507547362750881</v>
      </c>
      <c r="S4" s="16">
        <v>1.6593278777179223</v>
      </c>
      <c r="T4" s="16">
        <v>4.4239728318901372</v>
      </c>
      <c r="U4" s="16">
        <v>5.005748568441355</v>
      </c>
      <c r="V4" s="16">
        <v>4.7466441537647368</v>
      </c>
      <c r="W4" s="16">
        <v>4.0719184229775376</v>
      </c>
      <c r="X4" s="16">
        <v>3.4771895867173694</v>
      </c>
    </row>
    <row r="5" spans="1:24" s="14" customFormat="1" x14ac:dyDescent="0.2">
      <c r="A5" s="4" t="s">
        <v>6</v>
      </c>
      <c r="B5" s="4" t="s">
        <v>9</v>
      </c>
      <c r="C5" s="4" t="s">
        <v>46</v>
      </c>
      <c r="D5" s="99">
        <v>8</v>
      </c>
      <c r="E5" s="11">
        <v>108</v>
      </c>
      <c r="F5" s="12">
        <v>500</v>
      </c>
      <c r="G5" s="13">
        <v>2</v>
      </c>
      <c r="H5" s="16">
        <v>4.7165789849022666</v>
      </c>
      <c r="I5" s="16">
        <v>4.3804803593558796</v>
      </c>
      <c r="J5" s="16">
        <v>5.1872256967671264</v>
      </c>
      <c r="K5" s="16">
        <v>5.4918500722272103</v>
      </c>
      <c r="L5" s="16">
        <v>5.4903375944652479</v>
      </c>
      <c r="M5" s="16">
        <v>5.7670703072381704</v>
      </c>
      <c r="N5" s="16">
        <v>4.6255234654341058</v>
      </c>
      <c r="O5" s="16">
        <v>5.10237639934547</v>
      </c>
      <c r="P5" s="16">
        <v>3.7602839599136217</v>
      </c>
      <c r="Q5" s="16">
        <v>3.7208166145432138</v>
      </c>
      <c r="R5" s="16">
        <v>4.1239589424569703</v>
      </c>
      <c r="S5" s="16">
        <v>3.4280690670587775</v>
      </c>
      <c r="T5" s="16">
        <v>5.064338984508411</v>
      </c>
      <c r="U5" s="16">
        <v>4.8748176140897801</v>
      </c>
      <c r="V5" s="16">
        <v>5.8834118026654636</v>
      </c>
      <c r="W5" s="16">
        <v>4.5570375322115861</v>
      </c>
      <c r="X5" s="16">
        <v>4.1120441449731118</v>
      </c>
    </row>
    <row r="6" spans="1:24" s="14" customFormat="1" x14ac:dyDescent="0.2">
      <c r="A6" s="4" t="s">
        <v>6</v>
      </c>
      <c r="B6" s="4" t="s">
        <v>9</v>
      </c>
      <c r="C6" s="4" t="s">
        <v>46</v>
      </c>
      <c r="D6" s="99">
        <v>8</v>
      </c>
      <c r="E6" s="11">
        <v>208</v>
      </c>
      <c r="F6" s="12">
        <v>926</v>
      </c>
      <c r="G6" s="13">
        <v>4.5</v>
      </c>
      <c r="H6" s="16">
        <v>5.0009740928528004</v>
      </c>
      <c r="I6" s="16">
        <v>4.6121155338478435</v>
      </c>
      <c r="J6" s="16">
        <v>5.0368619322348982</v>
      </c>
      <c r="K6" s="16">
        <v>5.6857980355105955</v>
      </c>
      <c r="L6" s="16">
        <v>5.5344084189268807</v>
      </c>
      <c r="M6" s="16">
        <v>5.7571594929390715</v>
      </c>
      <c r="N6" s="16">
        <v>4.8778208443833595</v>
      </c>
      <c r="O6" s="16">
        <v>4.4824055477135278</v>
      </c>
      <c r="P6" s="16">
        <v>4.5665368770524974</v>
      </c>
      <c r="Q6" s="16">
        <v>3.8307366899992266</v>
      </c>
      <c r="R6" s="16">
        <v>3.0924571403674102</v>
      </c>
      <c r="S6" s="16">
        <v>2.9211906921883344</v>
      </c>
      <c r="T6" s="16">
        <v>4.0439533513314885</v>
      </c>
      <c r="U6" s="16">
        <v>4.6774995408452371</v>
      </c>
      <c r="V6" s="16">
        <v>5.7858907806967332</v>
      </c>
      <c r="W6" s="16">
        <v>4.5966825620744087</v>
      </c>
      <c r="X6" s="16">
        <v>4.4278463477819177</v>
      </c>
    </row>
    <row r="7" spans="1:24" s="14" customFormat="1" x14ac:dyDescent="0.2">
      <c r="A7" s="4" t="s">
        <v>6</v>
      </c>
      <c r="B7" s="4" t="s">
        <v>9</v>
      </c>
      <c r="C7" s="4" t="s">
        <v>46</v>
      </c>
      <c r="D7" s="99">
        <v>8</v>
      </c>
      <c r="E7" s="11">
        <v>308</v>
      </c>
      <c r="F7" s="12">
        <v>3704</v>
      </c>
      <c r="G7" s="13">
        <v>13</v>
      </c>
      <c r="H7" s="16">
        <v>4.6240444153531168</v>
      </c>
      <c r="I7" s="16">
        <v>4.3287633347675927</v>
      </c>
      <c r="J7" s="16">
        <v>5.2791690513134411</v>
      </c>
      <c r="K7" s="16">
        <v>4.7848364751305974</v>
      </c>
      <c r="L7" s="16">
        <v>4.9277747353236361</v>
      </c>
      <c r="M7" s="16">
        <v>5.1308862618832993</v>
      </c>
      <c r="N7" s="16">
        <v>4.5135659817520004</v>
      </c>
      <c r="O7" s="16">
        <v>3.8109181606523768</v>
      </c>
      <c r="P7" s="16">
        <v>2.9639379933705263</v>
      </c>
      <c r="Q7" s="16">
        <v>4.4349294800361667</v>
      </c>
      <c r="R7" s="16">
        <v>3.2079332319030636</v>
      </c>
      <c r="S7" s="16">
        <v>3.273425410376039</v>
      </c>
      <c r="T7" s="16">
        <v>2.9170673079184493</v>
      </c>
      <c r="U7" s="16">
        <v>4.6352500840624487</v>
      </c>
      <c r="V7" s="16">
        <v>4.6051368252645144</v>
      </c>
      <c r="W7" s="16">
        <v>4.1495197231663639</v>
      </c>
      <c r="X7" s="16">
        <v>4.0525815062407604</v>
      </c>
    </row>
    <row r="8" spans="1:24" s="14" customFormat="1" x14ac:dyDescent="0.2">
      <c r="A8" s="4" t="s">
        <v>6</v>
      </c>
      <c r="B8" s="4" t="s">
        <v>9</v>
      </c>
      <c r="C8" s="4" t="s">
        <v>10</v>
      </c>
      <c r="D8" s="99">
        <v>10</v>
      </c>
      <c r="E8" s="11">
        <v>110</v>
      </c>
      <c r="F8" s="12">
        <v>500</v>
      </c>
      <c r="G8" s="13">
        <v>2</v>
      </c>
      <c r="H8" s="16">
        <v>5.7289026259617213</v>
      </c>
      <c r="I8" s="16">
        <v>5.566867162910305</v>
      </c>
      <c r="J8" s="16">
        <v>5.9472492584833745</v>
      </c>
      <c r="K8" s="16">
        <v>6.4253619028732984</v>
      </c>
      <c r="L8" s="16">
        <v>5.4939163629810315</v>
      </c>
      <c r="M8" s="16">
        <v>6.2353077097994758</v>
      </c>
      <c r="N8" s="16">
        <v>3.8146947591355871</v>
      </c>
      <c r="O8" s="16">
        <v>4.6262977092600561</v>
      </c>
      <c r="P8" s="16">
        <v>5.902083862782157</v>
      </c>
      <c r="Q8" s="16">
        <v>4.8683101193250504</v>
      </c>
      <c r="R8" s="16">
        <v>4.4386125106681007</v>
      </c>
      <c r="S8" s="16">
        <v>3.7405126309477108</v>
      </c>
      <c r="T8" s="16">
        <v>5.1194952839643584</v>
      </c>
      <c r="U8" s="16">
        <v>4.8691122183730515</v>
      </c>
      <c r="V8" s="16">
        <v>6.3480799556771865</v>
      </c>
      <c r="W8" s="16">
        <v>5.1248076545183396</v>
      </c>
      <c r="X8" s="16">
        <v>4.6804831457275888</v>
      </c>
    </row>
    <row r="9" spans="1:24" s="14" customFormat="1" x14ac:dyDescent="0.2">
      <c r="A9" s="4" t="s">
        <v>6</v>
      </c>
      <c r="B9" s="4" t="s">
        <v>9</v>
      </c>
      <c r="C9" s="4" t="s">
        <v>10</v>
      </c>
      <c r="D9" s="99">
        <v>10</v>
      </c>
      <c r="E9" s="11">
        <v>210</v>
      </c>
      <c r="F9" s="12">
        <v>926</v>
      </c>
      <c r="G9" s="13">
        <v>4.5</v>
      </c>
      <c r="H9" s="16">
        <v>5.2684083373558224</v>
      </c>
      <c r="I9" s="16">
        <v>5.1478015905860444</v>
      </c>
      <c r="J9" s="16">
        <v>5.5036785575775875</v>
      </c>
      <c r="K9" s="16">
        <v>6.1991994547907359</v>
      </c>
      <c r="L9" s="16">
        <v>5.4357297596456258</v>
      </c>
      <c r="M9" s="16">
        <v>5.9261377439160734</v>
      </c>
      <c r="N9" s="16">
        <v>3.0496093632403598</v>
      </c>
      <c r="O9" s="16">
        <v>4.4289435040544811</v>
      </c>
      <c r="P9" s="16">
        <v>5.5904475578460202</v>
      </c>
      <c r="Q9" s="16">
        <v>4.5410107706682936</v>
      </c>
      <c r="R9" s="16">
        <v>5.3306457973709884</v>
      </c>
      <c r="S9" s="16">
        <v>3.5528581498694245</v>
      </c>
      <c r="T9" s="16">
        <v>5.167749570454264</v>
      </c>
      <c r="U9" s="16">
        <v>4.7564603925927758</v>
      </c>
      <c r="V9" s="16">
        <v>5.2368776165916211</v>
      </c>
      <c r="W9" s="16">
        <v>5.0627339078924338</v>
      </c>
      <c r="X9" s="16">
        <v>5.1754031671876524</v>
      </c>
    </row>
    <row r="10" spans="1:24" s="14" customFormat="1" x14ac:dyDescent="0.2">
      <c r="A10" s="4" t="s">
        <v>6</v>
      </c>
      <c r="B10" s="4" t="s">
        <v>9</v>
      </c>
      <c r="C10" s="4" t="s">
        <v>10</v>
      </c>
      <c r="D10" s="99">
        <v>10</v>
      </c>
      <c r="E10" s="11">
        <v>310</v>
      </c>
      <c r="F10" s="12">
        <v>3704</v>
      </c>
      <c r="G10" s="13">
        <v>11.5</v>
      </c>
      <c r="H10" s="16">
        <v>5.285575272324218</v>
      </c>
      <c r="I10" s="16">
        <v>4.8944647265630348</v>
      </c>
      <c r="J10" s="16">
        <v>5.3291982221129457</v>
      </c>
      <c r="K10" s="16">
        <v>5.4496016453810361</v>
      </c>
      <c r="L10" s="16">
        <v>4.9213796590776617</v>
      </c>
      <c r="M10" s="16">
        <v>5.2868614528127758</v>
      </c>
      <c r="N10" s="16">
        <v>4.6227923211490189</v>
      </c>
      <c r="O10" s="16">
        <v>5.2357947173023458</v>
      </c>
      <c r="P10" s="16">
        <v>3.4388114052356995</v>
      </c>
      <c r="Q10" s="16">
        <v>3.6018704776980814</v>
      </c>
      <c r="R10" s="16">
        <v>5.2389504255824946</v>
      </c>
      <c r="S10" s="16">
        <v>3.067936894865869</v>
      </c>
      <c r="T10" s="16">
        <v>3.1157753862315589</v>
      </c>
      <c r="U10" s="16">
        <v>5.0020234438448465</v>
      </c>
      <c r="V10" s="16">
        <v>4.776878717861508</v>
      </c>
      <c r="W10" s="16">
        <v>4.4570089763115668</v>
      </c>
      <c r="X10" s="16">
        <v>3.8653757196926675</v>
      </c>
    </row>
    <row r="11" spans="1:24" s="14" customFormat="1" x14ac:dyDescent="0.2">
      <c r="A11" s="4" t="s">
        <v>6</v>
      </c>
      <c r="B11" s="4" t="s">
        <v>9</v>
      </c>
      <c r="C11" s="4" t="s">
        <v>11</v>
      </c>
      <c r="D11" s="99">
        <v>15</v>
      </c>
      <c r="E11" s="11">
        <v>115</v>
      </c>
      <c r="F11" s="12">
        <v>500</v>
      </c>
      <c r="G11" s="13">
        <v>2.5</v>
      </c>
      <c r="H11" s="16">
        <v>5.0912118557893384</v>
      </c>
      <c r="I11" s="16">
        <v>4.5815915633755395</v>
      </c>
      <c r="J11" s="16">
        <v>5.9828182072100047</v>
      </c>
      <c r="K11" s="16">
        <v>5.7046169559711162</v>
      </c>
      <c r="L11" s="16">
        <v>5.9853491480398722</v>
      </c>
      <c r="M11" s="16">
        <v>5.2567511038677761</v>
      </c>
      <c r="N11" s="16">
        <v>4.2953047111484857</v>
      </c>
      <c r="O11" s="16">
        <v>4.0183712362101867</v>
      </c>
      <c r="P11" s="16">
        <v>5.2112711480562686</v>
      </c>
      <c r="Q11" s="16">
        <v>5.4722719216169198</v>
      </c>
      <c r="R11" s="16">
        <v>5.4988029562470269</v>
      </c>
      <c r="S11" s="16">
        <v>3.9784430048830752</v>
      </c>
      <c r="T11" s="16">
        <v>4.340958020439202</v>
      </c>
      <c r="U11" s="16">
        <v>4.9378494606502716</v>
      </c>
      <c r="V11" s="16">
        <v>6.0112751960526474</v>
      </c>
      <c r="W11" s="16">
        <v>4.4902695734617417</v>
      </c>
      <c r="X11" s="16">
        <v>4.5060008546126031</v>
      </c>
    </row>
    <row r="12" spans="1:24" s="14" customFormat="1" x14ac:dyDescent="0.2">
      <c r="A12" s="4" t="s">
        <v>6</v>
      </c>
      <c r="B12" s="4" t="s">
        <v>9</v>
      </c>
      <c r="C12" s="4" t="s">
        <v>11</v>
      </c>
      <c r="D12" s="99">
        <v>15</v>
      </c>
      <c r="E12" s="11">
        <v>215</v>
      </c>
      <c r="F12" s="12">
        <v>926</v>
      </c>
      <c r="G12" s="13">
        <v>6</v>
      </c>
      <c r="H12" s="16">
        <v>5.8977752656753726</v>
      </c>
      <c r="I12" s="16">
        <v>5.4048999859291449</v>
      </c>
      <c r="J12" s="16">
        <v>5.4167377875477554</v>
      </c>
      <c r="K12" s="16">
        <v>5.6818560600818682</v>
      </c>
      <c r="L12" s="16">
        <v>6.1012139108094701</v>
      </c>
      <c r="M12" s="16">
        <v>5.5759904640025306</v>
      </c>
      <c r="N12" s="16">
        <v>5.1304385300702551</v>
      </c>
      <c r="O12" s="16">
        <v>4.921652421842726</v>
      </c>
      <c r="P12" s="16">
        <v>5.0691082593491616</v>
      </c>
      <c r="Q12" s="16">
        <v>5.6254728144036266</v>
      </c>
      <c r="R12" s="16">
        <v>4.1154928179489891</v>
      </c>
      <c r="S12" s="16">
        <v>3.1509664645219693</v>
      </c>
      <c r="T12" s="16">
        <v>4.6442237410367495</v>
      </c>
      <c r="U12" s="16">
        <v>5.1987651506184394</v>
      </c>
      <c r="V12" s="16">
        <v>6.156048816980066</v>
      </c>
      <c r="W12" s="16">
        <v>4.7956899751777149</v>
      </c>
      <c r="X12" s="16">
        <v>4.6881309296662481</v>
      </c>
    </row>
    <row r="13" spans="1:24" s="14" customFormat="1" x14ac:dyDescent="0.2">
      <c r="A13" s="4" t="s">
        <v>6</v>
      </c>
      <c r="B13" s="4" t="s">
        <v>9</v>
      </c>
      <c r="C13" s="4" t="s">
        <v>11</v>
      </c>
      <c r="D13" s="99">
        <v>15</v>
      </c>
      <c r="E13" s="11">
        <v>315</v>
      </c>
      <c r="F13" s="12">
        <v>3704</v>
      </c>
      <c r="G13" s="13">
        <v>13.5</v>
      </c>
      <c r="H13" s="16">
        <v>5.4752124145944627</v>
      </c>
      <c r="I13" s="16">
        <v>3.9072967827051492</v>
      </c>
      <c r="J13" s="16">
        <v>5.8764645392766424</v>
      </c>
      <c r="K13" s="16">
        <v>5.6588272263159283</v>
      </c>
      <c r="L13" s="16">
        <v>5.0249634640221661</v>
      </c>
      <c r="M13" s="16">
        <v>4.6262977167508703</v>
      </c>
      <c r="N13" s="16">
        <v>4.3914458865352586</v>
      </c>
      <c r="O13" s="16">
        <v>4.7690608424388161</v>
      </c>
      <c r="P13" s="16">
        <v>3.2440434602836712</v>
      </c>
      <c r="Q13" s="16">
        <v>4.2116964681340425</v>
      </c>
      <c r="R13" s="16">
        <v>3.1745733214021024</v>
      </c>
      <c r="S13" s="16">
        <v>3.9681431822427582</v>
      </c>
      <c r="T13" s="16">
        <v>3.352631469929118</v>
      </c>
      <c r="U13" s="16">
        <v>4.8318200769060304</v>
      </c>
      <c r="V13" s="16">
        <v>5.0178968121255689</v>
      </c>
      <c r="W13" s="16">
        <v>4.7839836539687761</v>
      </c>
      <c r="X13" s="16">
        <v>3.7630741627367144</v>
      </c>
    </row>
    <row r="14" spans="1:24" s="14" customFormat="1" x14ac:dyDescent="0.2">
      <c r="A14" s="4" t="s">
        <v>6</v>
      </c>
      <c r="B14" s="4" t="s">
        <v>12</v>
      </c>
      <c r="C14" s="4" t="s">
        <v>47</v>
      </c>
      <c r="D14" s="99">
        <v>24</v>
      </c>
      <c r="E14" s="11">
        <v>124</v>
      </c>
      <c r="F14" s="12">
        <v>500</v>
      </c>
      <c r="G14" s="13">
        <v>2.5</v>
      </c>
      <c r="H14" s="16">
        <v>5.0639033881689235</v>
      </c>
      <c r="I14" s="16">
        <v>5.0037886363137334</v>
      </c>
      <c r="J14" s="16">
        <v>5.0952771063373818</v>
      </c>
      <c r="K14" s="16">
        <v>5.4774227491508638</v>
      </c>
      <c r="L14" s="16">
        <v>6.1015854030667462</v>
      </c>
      <c r="M14" s="16">
        <v>4.4190760525640727</v>
      </c>
      <c r="N14" s="16">
        <v>5.4149708365722384</v>
      </c>
      <c r="O14" s="16">
        <v>5.3717174896233963</v>
      </c>
      <c r="P14" s="16">
        <v>5.4854313576687677</v>
      </c>
      <c r="Q14" s="16">
        <v>5.4547011776757017</v>
      </c>
      <c r="R14" s="16">
        <v>3.784833300196055</v>
      </c>
      <c r="S14" s="16">
        <v>3.9504107627958729</v>
      </c>
      <c r="T14" s="16">
        <v>4.0503224107629645</v>
      </c>
      <c r="U14" s="16">
        <v>4.9401592112209105</v>
      </c>
      <c r="V14" s="16">
        <v>5.5486347056740808</v>
      </c>
      <c r="W14" s="16">
        <v>4.8359892623221059</v>
      </c>
      <c r="X14" s="16">
        <v>4.1661009598838161</v>
      </c>
    </row>
    <row r="15" spans="1:24" s="14" customFormat="1" x14ac:dyDescent="0.2">
      <c r="A15" s="4" t="s">
        <v>6</v>
      </c>
      <c r="B15" s="4" t="s">
        <v>12</v>
      </c>
      <c r="C15" s="4" t="s">
        <v>47</v>
      </c>
      <c r="D15" s="99">
        <v>24</v>
      </c>
      <c r="E15" s="11">
        <v>224</v>
      </c>
      <c r="F15" s="12">
        <v>926</v>
      </c>
      <c r="G15" s="13">
        <v>6.5</v>
      </c>
      <c r="H15" s="16">
        <v>5.0743158892724392</v>
      </c>
      <c r="I15" s="16">
        <v>4.6926460924480606</v>
      </c>
      <c r="J15" s="16">
        <v>5.0779164170340207</v>
      </c>
      <c r="K15" s="16">
        <v>5.2311059398821733</v>
      </c>
      <c r="L15" s="16">
        <v>6.2198556819873376</v>
      </c>
      <c r="M15" s="16">
        <v>5.1570159810288079</v>
      </c>
      <c r="N15" s="16">
        <v>4.0616522732069447</v>
      </c>
      <c r="O15" s="16">
        <v>5.0370114687182266</v>
      </c>
      <c r="P15" s="16">
        <v>5.3994459677977522</v>
      </c>
      <c r="Q15" s="16">
        <v>5.002439074380673</v>
      </c>
      <c r="R15" s="16">
        <v>3.4390783547688892</v>
      </c>
      <c r="S15" s="16">
        <v>3.7906473612241505</v>
      </c>
      <c r="T15" s="16">
        <v>4.9114281567208851</v>
      </c>
      <c r="U15" s="16">
        <v>4.80272486201891</v>
      </c>
      <c r="V15" s="16">
        <v>5.4286484982495136</v>
      </c>
      <c r="W15" s="16">
        <v>4.3842896250886705</v>
      </c>
      <c r="X15" s="16">
        <v>4.3088310224072659</v>
      </c>
    </row>
    <row r="16" spans="1:24" s="14" customFormat="1" x14ac:dyDescent="0.2">
      <c r="A16" s="4" t="s">
        <v>6</v>
      </c>
      <c r="B16" s="4" t="s">
        <v>12</v>
      </c>
      <c r="C16" s="4" t="s">
        <v>47</v>
      </c>
      <c r="D16" s="99">
        <v>24</v>
      </c>
      <c r="E16" s="11">
        <v>324</v>
      </c>
      <c r="F16" s="12">
        <v>3704</v>
      </c>
      <c r="G16" s="13">
        <v>15</v>
      </c>
      <c r="H16" s="16">
        <v>5.2942448899130925</v>
      </c>
      <c r="I16" s="16">
        <v>3.6917135942280339</v>
      </c>
      <c r="J16" s="16">
        <v>5.5211360533300544</v>
      </c>
      <c r="K16" s="16">
        <v>5.4048957334161329</v>
      </c>
      <c r="L16" s="16">
        <v>6.1397095889865705</v>
      </c>
      <c r="M16" s="16">
        <v>4.1989338754427061</v>
      </c>
      <c r="N16" s="16">
        <v>3.80517008316412</v>
      </c>
      <c r="O16" s="16">
        <v>5.2533868160259125</v>
      </c>
      <c r="P16" s="16">
        <v>4.4552365312965616</v>
      </c>
      <c r="Q16" s="16">
        <v>5.0281375766718135</v>
      </c>
      <c r="R16" s="16">
        <v>4.5252806022031686</v>
      </c>
      <c r="S16" s="16">
        <v>3.114129274367861</v>
      </c>
      <c r="T16" s="16">
        <v>4.2014621803264891</v>
      </c>
      <c r="U16" s="16">
        <v>5.1359744889064611</v>
      </c>
      <c r="V16" s="16">
        <v>5.5631299214476568</v>
      </c>
      <c r="W16" s="16">
        <v>4.9937703817358949</v>
      </c>
      <c r="X16" s="16">
        <v>4.5074771382635976</v>
      </c>
    </row>
    <row r="17" spans="1:24" s="14" customFormat="1" x14ac:dyDescent="0.2">
      <c r="A17" s="4" t="s">
        <v>6</v>
      </c>
      <c r="B17" s="6" t="s">
        <v>13</v>
      </c>
      <c r="C17" s="4" t="s">
        <v>14</v>
      </c>
      <c r="D17" s="99">
        <v>32</v>
      </c>
      <c r="E17" s="11">
        <v>132</v>
      </c>
      <c r="F17" s="12">
        <v>500</v>
      </c>
      <c r="G17" s="13">
        <v>2.5</v>
      </c>
      <c r="H17" s="16">
        <v>5.629685378219377</v>
      </c>
      <c r="I17" s="16">
        <v>5.6197429286878613</v>
      </c>
      <c r="J17" s="16">
        <v>5.4502939388291844</v>
      </c>
      <c r="K17" s="16">
        <v>6.1438380848613967</v>
      </c>
      <c r="L17" s="16">
        <v>5.9126171117428861</v>
      </c>
      <c r="M17" s="16">
        <v>5.5671371426089191</v>
      </c>
      <c r="N17" s="16">
        <v>3.996362636758882</v>
      </c>
      <c r="O17" s="16">
        <v>3.9545698550430703</v>
      </c>
      <c r="P17" s="16">
        <v>5.8592749239586173</v>
      </c>
      <c r="Q17" s="16">
        <v>4.6627578699019567</v>
      </c>
      <c r="R17" s="16">
        <v>4.1160976359976953</v>
      </c>
      <c r="S17" s="16">
        <v>4.0356101312295092</v>
      </c>
      <c r="T17" s="16">
        <v>5.0990738543197187</v>
      </c>
      <c r="U17" s="16">
        <v>5.2975130756367541</v>
      </c>
      <c r="V17" s="16">
        <v>5.4365633711971002</v>
      </c>
      <c r="W17" s="16">
        <v>5.0110402672999719</v>
      </c>
      <c r="X17" s="16">
        <v>4.6025792872503342</v>
      </c>
    </row>
    <row r="18" spans="1:24" s="14" customFormat="1" x14ac:dyDescent="0.2">
      <c r="A18" s="4" t="s">
        <v>6</v>
      </c>
      <c r="B18" s="6" t="s">
        <v>13</v>
      </c>
      <c r="C18" s="4" t="s">
        <v>14</v>
      </c>
      <c r="D18" s="99">
        <v>32</v>
      </c>
      <c r="E18" s="11">
        <v>232</v>
      </c>
      <c r="F18" s="12">
        <v>926</v>
      </c>
      <c r="G18" s="13">
        <v>6.5</v>
      </c>
      <c r="H18" s="16">
        <v>5.4964596405481085</v>
      </c>
      <c r="I18" s="16">
        <v>5.257260439249162</v>
      </c>
      <c r="J18" s="16">
        <v>5.6380719431060005</v>
      </c>
      <c r="K18" s="16">
        <v>6.1749974546230275</v>
      </c>
      <c r="L18" s="16">
        <v>5.9056499964045424</v>
      </c>
      <c r="M18" s="16">
        <v>5.6260584344245208</v>
      </c>
      <c r="N18" s="16">
        <v>3.1864660443218664</v>
      </c>
      <c r="O18" s="16">
        <v>4.6039972003696343</v>
      </c>
      <c r="P18" s="16">
        <v>5.6092632739590655</v>
      </c>
      <c r="Q18" s="16">
        <v>3.9842921208525794</v>
      </c>
      <c r="R18" s="16">
        <v>3.6832929867220754</v>
      </c>
      <c r="S18" s="16">
        <v>3.8843719771206198</v>
      </c>
      <c r="T18" s="16">
        <v>4.930333933776418</v>
      </c>
      <c r="U18" s="16">
        <v>4.8496852401552326</v>
      </c>
      <c r="V18" s="16">
        <v>5.5490677793182064</v>
      </c>
      <c r="W18" s="16">
        <v>5.0060156821170496</v>
      </c>
      <c r="X18" s="16">
        <v>4.7826398495325995</v>
      </c>
    </row>
    <row r="19" spans="1:24" s="14" customFormat="1" x14ac:dyDescent="0.2">
      <c r="A19" s="4" t="s">
        <v>6</v>
      </c>
      <c r="B19" s="6" t="s">
        <v>13</v>
      </c>
      <c r="C19" s="4" t="s">
        <v>14</v>
      </c>
      <c r="D19" s="99">
        <v>32</v>
      </c>
      <c r="E19" s="11">
        <v>332</v>
      </c>
      <c r="F19" s="12">
        <v>3704</v>
      </c>
      <c r="G19" s="13">
        <v>16</v>
      </c>
      <c r="H19" s="16">
        <v>5.3483993794257518</v>
      </c>
      <c r="I19" s="16">
        <v>4.0308351665046001</v>
      </c>
      <c r="J19" s="16">
        <v>5.0950676462265099</v>
      </c>
      <c r="K19" s="16">
        <v>4.5849066576045221</v>
      </c>
      <c r="L19" s="16">
        <v>5.4334379404922242</v>
      </c>
      <c r="M19" s="16">
        <v>4.4892954877410256</v>
      </c>
      <c r="N19" s="16">
        <v>3.8584298454834083</v>
      </c>
      <c r="O19" s="16">
        <v>4.6721929570946434</v>
      </c>
      <c r="P19" s="16">
        <v>4.0945788471810749</v>
      </c>
      <c r="Q19" s="16">
        <v>3.6022107592941266</v>
      </c>
      <c r="R19" s="16">
        <v>4.4356395267137234</v>
      </c>
      <c r="S19" s="16">
        <v>3.6277729968709238</v>
      </c>
      <c r="T19" s="16">
        <v>3.222611083475297</v>
      </c>
      <c r="U19" s="16">
        <v>4.9798029907203736</v>
      </c>
      <c r="V19" s="16">
        <v>5.5425199327666412</v>
      </c>
      <c r="W19" s="16">
        <v>5.1028483735606764</v>
      </c>
      <c r="X19" s="16">
        <v>4.1540322407840113</v>
      </c>
    </row>
    <row r="20" spans="1:24" s="14" customFormat="1" x14ac:dyDescent="0.2">
      <c r="A20" s="4" t="s">
        <v>6</v>
      </c>
      <c r="B20" s="6" t="s">
        <v>13</v>
      </c>
      <c r="C20" s="4" t="s">
        <v>48</v>
      </c>
      <c r="D20" s="99">
        <v>40</v>
      </c>
      <c r="E20" s="11">
        <v>140</v>
      </c>
      <c r="F20" s="12">
        <v>500</v>
      </c>
      <c r="G20" s="13">
        <v>3</v>
      </c>
      <c r="H20" s="16">
        <v>4.6049335797939195</v>
      </c>
      <c r="I20" s="16">
        <v>4.980749801493964</v>
      </c>
      <c r="J20" s="16">
        <v>5.4418790486134814</v>
      </c>
      <c r="K20" s="16">
        <v>4.6561668756453409</v>
      </c>
      <c r="L20" s="16">
        <v>5.8686873496199397</v>
      </c>
      <c r="M20" s="16">
        <v>5.2745787356830238</v>
      </c>
      <c r="N20" s="16">
        <v>4.5499530814831619</v>
      </c>
      <c r="O20" s="16">
        <v>5.3680743115538885</v>
      </c>
      <c r="P20" s="16">
        <v>5.7980261184154127</v>
      </c>
      <c r="Q20" s="16">
        <v>5.3117199995450397</v>
      </c>
      <c r="R20" s="16">
        <v>3.6340240566303379</v>
      </c>
      <c r="S20" s="16">
        <v>4.0094069495118081</v>
      </c>
      <c r="T20" s="16">
        <v>4.6726211371147164</v>
      </c>
      <c r="U20" s="16">
        <v>5.3147694191074164</v>
      </c>
      <c r="V20" s="16">
        <v>5.3022807083587962</v>
      </c>
      <c r="W20" s="16">
        <v>4.0975031528159587</v>
      </c>
      <c r="X20" s="16">
        <v>4.6641182402411676</v>
      </c>
    </row>
    <row r="21" spans="1:24" s="14" customFormat="1" x14ac:dyDescent="0.2">
      <c r="A21" s="4" t="s">
        <v>6</v>
      </c>
      <c r="B21" s="6" t="s">
        <v>13</v>
      </c>
      <c r="C21" s="4" t="s">
        <v>48</v>
      </c>
      <c r="D21" s="99">
        <v>40</v>
      </c>
      <c r="E21" s="11">
        <v>240</v>
      </c>
      <c r="F21" s="12">
        <v>926</v>
      </c>
      <c r="G21" s="13">
        <v>6.5</v>
      </c>
      <c r="H21" s="16">
        <v>5.4578730348426392</v>
      </c>
      <c r="I21" s="16">
        <v>4.8815282253901815</v>
      </c>
      <c r="J21" s="16">
        <v>5.2064314761177384</v>
      </c>
      <c r="K21" s="16">
        <v>4.182831465027129</v>
      </c>
      <c r="L21" s="16">
        <v>5.931254473982114</v>
      </c>
      <c r="M21" s="16">
        <v>4.5463546689063632</v>
      </c>
      <c r="N21" s="16">
        <v>4.4653527397656374</v>
      </c>
      <c r="O21" s="16">
        <v>5.4000060074307985</v>
      </c>
      <c r="P21" s="16">
        <v>5.7476244661248943</v>
      </c>
      <c r="Q21" s="16">
        <v>4.5785524779727771</v>
      </c>
      <c r="R21" s="16">
        <v>4.0704725600595655</v>
      </c>
      <c r="S21" s="16">
        <v>4.3601729134387259</v>
      </c>
      <c r="T21" s="16">
        <v>5.007015863764205</v>
      </c>
      <c r="U21" s="16">
        <v>4.7521665575929353</v>
      </c>
      <c r="V21" s="16">
        <v>5.2104129580802265</v>
      </c>
      <c r="W21" s="16">
        <v>4.5133013207264883</v>
      </c>
      <c r="X21" s="16">
        <v>4.571506222630858</v>
      </c>
    </row>
    <row r="22" spans="1:24" s="14" customFormat="1" x14ac:dyDescent="0.2">
      <c r="A22" s="4" t="s">
        <v>6</v>
      </c>
      <c r="B22" s="6" t="s">
        <v>13</v>
      </c>
      <c r="C22" s="4" t="s">
        <v>48</v>
      </c>
      <c r="D22" s="99">
        <v>40</v>
      </c>
      <c r="E22" s="11">
        <v>340</v>
      </c>
      <c r="F22" s="12">
        <v>3704</v>
      </c>
      <c r="G22" s="13">
        <v>13</v>
      </c>
      <c r="H22" s="16">
        <v>4.6391378833643993</v>
      </c>
      <c r="I22" s="16">
        <v>4.1618132633621574</v>
      </c>
      <c r="J22" s="16">
        <v>5.1126068559292515</v>
      </c>
      <c r="K22" s="16">
        <v>4.6356945620129855</v>
      </c>
      <c r="L22" s="16">
        <v>5.6835289146540244</v>
      </c>
      <c r="M22" s="16">
        <v>3.5512869035898174</v>
      </c>
      <c r="N22" s="16">
        <v>4.796814859500631</v>
      </c>
      <c r="O22" s="16">
        <v>4.9660759578925449</v>
      </c>
      <c r="P22" s="16">
        <v>5.3624598675561659</v>
      </c>
      <c r="Q22" s="16">
        <v>4.0967855269587572</v>
      </c>
      <c r="R22" s="16">
        <v>4.5043225984104529</v>
      </c>
      <c r="S22" s="16">
        <v>4.0889530604561601</v>
      </c>
      <c r="T22" s="16">
        <v>3.7322133336828451</v>
      </c>
      <c r="U22" s="16">
        <v>4.8686121133108768</v>
      </c>
      <c r="V22" s="16">
        <v>5.3056316269154271</v>
      </c>
      <c r="W22" s="16">
        <v>4.6993488922629369</v>
      </c>
      <c r="X22" s="16">
        <v>4.6709881333784633</v>
      </c>
    </row>
    <row r="23" spans="1:24" s="14" customFormat="1" x14ac:dyDescent="0.2">
      <c r="A23" s="4" t="s">
        <v>6</v>
      </c>
      <c r="B23" s="20" t="s">
        <v>49</v>
      </c>
      <c r="C23" s="20" t="s">
        <v>15</v>
      </c>
      <c r="D23" s="99">
        <v>47</v>
      </c>
      <c r="E23" s="11">
        <v>147</v>
      </c>
      <c r="F23" s="12">
        <v>500</v>
      </c>
      <c r="G23" s="13">
        <v>2</v>
      </c>
      <c r="H23" s="16">
        <v>5.0644738956080317</v>
      </c>
      <c r="I23" s="16">
        <v>4.9513618606165695</v>
      </c>
      <c r="J23" s="16">
        <v>5.3844031638720704</v>
      </c>
      <c r="K23" s="16">
        <v>3.8622547826160369</v>
      </c>
      <c r="L23" s="16">
        <v>4.897650439194277</v>
      </c>
      <c r="M23" s="16">
        <v>4.6801119484363864</v>
      </c>
      <c r="N23" s="16">
        <v>3.8464355366033049</v>
      </c>
      <c r="O23" s="16">
        <v>5.0846242767446874</v>
      </c>
      <c r="P23" s="16">
        <v>4.8051640003564007</v>
      </c>
      <c r="Q23" s="16">
        <v>4.9827246048566973</v>
      </c>
      <c r="R23" s="16">
        <v>4.5590712679495597</v>
      </c>
      <c r="S23" s="16">
        <v>4.0995420948588182</v>
      </c>
      <c r="T23" s="16">
        <v>4.3848173680558951</v>
      </c>
      <c r="U23" s="16">
        <v>5.2775231798209106</v>
      </c>
      <c r="V23" s="16">
        <v>5.1800121588741845</v>
      </c>
      <c r="W23" s="16">
        <v>3.9947859537239161</v>
      </c>
      <c r="X23" s="16">
        <v>4.3797215282266873</v>
      </c>
    </row>
    <row r="24" spans="1:24" s="14" customFormat="1" x14ac:dyDescent="0.2">
      <c r="A24" s="4" t="s">
        <v>6</v>
      </c>
      <c r="B24" s="20" t="s">
        <v>49</v>
      </c>
      <c r="C24" s="20" t="s">
        <v>15</v>
      </c>
      <c r="D24" s="99">
        <v>47</v>
      </c>
      <c r="E24" s="11">
        <v>247</v>
      </c>
      <c r="F24" s="12">
        <v>926</v>
      </c>
      <c r="G24" s="13">
        <v>4.5</v>
      </c>
      <c r="H24" s="16">
        <v>5.5819131222604303</v>
      </c>
      <c r="I24" s="16">
        <v>5.5538283537181226</v>
      </c>
      <c r="J24" s="16">
        <v>5.3008415765259391</v>
      </c>
      <c r="K24" s="16">
        <v>4.1112190140098948</v>
      </c>
      <c r="L24" s="16">
        <v>5.5432971964815527</v>
      </c>
      <c r="M24" s="16">
        <v>4.7499779955532109</v>
      </c>
      <c r="N24" s="16">
        <v>2.9385960779162272</v>
      </c>
      <c r="O24" s="16">
        <v>5.1457766312795652</v>
      </c>
      <c r="P24" s="16">
        <v>4.9595991142895262</v>
      </c>
      <c r="Q24" s="16">
        <v>4.0508948636174731</v>
      </c>
      <c r="R24" s="16">
        <v>4.4592880990979049</v>
      </c>
      <c r="S24" s="16">
        <v>3.823719782684365</v>
      </c>
      <c r="T24" s="16">
        <v>4.3717998865186694</v>
      </c>
      <c r="U24" s="16">
        <v>5.0595267897619509</v>
      </c>
      <c r="V24" s="16">
        <v>4.9953991474912049</v>
      </c>
      <c r="W24" s="16">
        <v>3.4879779571919021</v>
      </c>
      <c r="X24" s="16">
        <v>4.5652150225675427</v>
      </c>
    </row>
    <row r="25" spans="1:24" s="14" customFormat="1" x14ac:dyDescent="0.2">
      <c r="A25" s="4" t="s">
        <v>6</v>
      </c>
      <c r="B25" s="20" t="s">
        <v>49</v>
      </c>
      <c r="C25" s="20" t="s">
        <v>15</v>
      </c>
      <c r="D25" s="99">
        <v>47</v>
      </c>
      <c r="E25" s="11">
        <v>347</v>
      </c>
      <c r="F25" s="12">
        <v>3704</v>
      </c>
      <c r="G25" s="13">
        <v>9</v>
      </c>
      <c r="H25" s="16">
        <v>5.0261347898348951</v>
      </c>
      <c r="I25" s="16">
        <v>4.8746857737837574</v>
      </c>
      <c r="J25" s="16">
        <v>5.0101285049685051</v>
      </c>
      <c r="K25" s="16">
        <v>4.0769180618603693</v>
      </c>
      <c r="L25" s="16">
        <v>5.791673386262401</v>
      </c>
      <c r="M25" s="16">
        <v>4.8858404988263304</v>
      </c>
      <c r="N25" s="16">
        <v>3.3802161464594769</v>
      </c>
      <c r="O25" s="16">
        <v>5.0206100611193776</v>
      </c>
      <c r="P25" s="16">
        <v>4.9977458222580964</v>
      </c>
      <c r="Q25" s="16">
        <v>3.9334804494880302</v>
      </c>
      <c r="R25" s="16">
        <v>4.6104764372600151</v>
      </c>
      <c r="S25" s="16">
        <v>3.4460834551830972</v>
      </c>
      <c r="T25" s="16">
        <v>3.4224814963684458</v>
      </c>
      <c r="U25" s="16">
        <v>4.9768188450436437</v>
      </c>
      <c r="V25" s="16">
        <v>5.1463605990650096</v>
      </c>
      <c r="W25" s="16">
        <v>4.0508021153888736</v>
      </c>
      <c r="X25" s="16">
        <v>4.1841539293266523</v>
      </c>
    </row>
    <row r="26" spans="1:24" s="14" customFormat="1" x14ac:dyDescent="0.2">
      <c r="A26" s="4" t="s">
        <v>6</v>
      </c>
      <c r="B26" s="14" t="s">
        <v>50</v>
      </c>
      <c r="C26" s="14" t="s">
        <v>51</v>
      </c>
      <c r="D26" s="99">
        <v>53</v>
      </c>
      <c r="E26" s="11">
        <v>153</v>
      </c>
      <c r="F26" s="12">
        <v>500</v>
      </c>
      <c r="G26" s="13">
        <v>5</v>
      </c>
      <c r="H26" s="16">
        <v>4.9536602438889972</v>
      </c>
      <c r="I26" s="16">
        <v>5.0095674929091896</v>
      </c>
      <c r="J26" s="16">
        <v>4.2472480593840913</v>
      </c>
      <c r="K26" s="16">
        <v>5.0190719709435445</v>
      </c>
      <c r="L26" s="16">
        <v>3.779179366914037</v>
      </c>
      <c r="M26" s="16">
        <v>5.237318535423138</v>
      </c>
      <c r="N26" s="16">
        <v>3.6281107915654229</v>
      </c>
      <c r="O26" s="16">
        <v>4.7301263186525668</v>
      </c>
      <c r="P26" s="16">
        <v>4.7617155238502047</v>
      </c>
      <c r="Q26" s="16">
        <v>4.9296367683338724</v>
      </c>
      <c r="R26" s="16">
        <v>4.5283542699230974</v>
      </c>
      <c r="S26" s="16">
        <v>3.7611544574872391</v>
      </c>
      <c r="T26" s="16">
        <v>4.0509037001541621</v>
      </c>
      <c r="U26" s="16">
        <v>4.0206100391482549</v>
      </c>
      <c r="V26" s="16">
        <v>4.5904956693825829</v>
      </c>
      <c r="W26" s="16">
        <v>3.9005640404804787</v>
      </c>
      <c r="X26" s="16">
        <v>4.31093443623182</v>
      </c>
    </row>
    <row r="27" spans="1:24" s="14" customFormat="1" x14ac:dyDescent="0.2">
      <c r="A27" s="4" t="s">
        <v>6</v>
      </c>
      <c r="B27" s="14" t="s">
        <v>50</v>
      </c>
      <c r="C27" s="14" t="s">
        <v>51</v>
      </c>
      <c r="D27" s="99">
        <v>53</v>
      </c>
      <c r="E27" s="11">
        <v>253</v>
      </c>
      <c r="F27" s="12">
        <v>926</v>
      </c>
      <c r="G27" s="13">
        <v>6</v>
      </c>
      <c r="H27" s="16">
        <v>5.0685428800347836</v>
      </c>
      <c r="I27" s="16">
        <v>5.2425000407910129</v>
      </c>
      <c r="J27" s="16">
        <v>4.7138874351725706</v>
      </c>
      <c r="K27" s="16">
        <v>4.933164739958162</v>
      </c>
      <c r="L27" s="16">
        <v>5.1303659291985229</v>
      </c>
      <c r="M27" s="16">
        <v>5.5978129909116339</v>
      </c>
      <c r="N27" s="16">
        <v>3.2736075684132824</v>
      </c>
      <c r="O27" s="16">
        <v>4.6935345207476331</v>
      </c>
      <c r="P27" s="16">
        <v>4.7558590998692578</v>
      </c>
      <c r="Q27" s="16">
        <v>4.7350000662260419</v>
      </c>
      <c r="R27" s="16">
        <v>4.6239171272591184</v>
      </c>
      <c r="S27" s="16">
        <v>3.2198834532428262</v>
      </c>
      <c r="T27" s="16">
        <v>3.9866609169601661</v>
      </c>
      <c r="U27" s="16">
        <v>4.0862618995302791</v>
      </c>
      <c r="V27" s="16">
        <v>4.7040422416066088</v>
      </c>
      <c r="W27" s="16">
        <v>3.4625203848540518</v>
      </c>
      <c r="X27" s="16">
        <v>4.2785304349809019</v>
      </c>
    </row>
    <row r="28" spans="1:24" s="14" customFormat="1" x14ac:dyDescent="0.2">
      <c r="A28" s="4" t="s">
        <v>6</v>
      </c>
      <c r="B28" s="14" t="s">
        <v>50</v>
      </c>
      <c r="C28" s="14" t="s">
        <v>51</v>
      </c>
      <c r="D28" s="99">
        <v>53</v>
      </c>
      <c r="E28" s="11">
        <v>353</v>
      </c>
      <c r="F28" s="12">
        <v>3704</v>
      </c>
      <c r="G28" s="13">
        <v>12</v>
      </c>
      <c r="H28" s="16">
        <v>5.2416673099161697</v>
      </c>
      <c r="I28" s="16">
        <v>4.71405503723929</v>
      </c>
      <c r="J28" s="16">
        <v>3.9416781599246304</v>
      </c>
      <c r="K28" s="16">
        <v>4.6877897703083962</v>
      </c>
      <c r="L28" s="16">
        <v>4.8726273177043113</v>
      </c>
      <c r="M28" s="16">
        <v>5.2181719063827252</v>
      </c>
      <c r="N28" s="16">
        <v>4.0402314072984273</v>
      </c>
      <c r="O28" s="16">
        <v>4.815898168779988</v>
      </c>
      <c r="P28" s="16">
        <v>3.1787044476488129</v>
      </c>
      <c r="Q28" s="16">
        <v>3.2382017369932767</v>
      </c>
      <c r="R28" s="16">
        <v>4.3947609015653324</v>
      </c>
      <c r="S28" s="16">
        <v>3.4697206307282142</v>
      </c>
      <c r="T28" s="16">
        <v>3.8877082233997329</v>
      </c>
      <c r="U28" s="16">
        <v>4.0191091364545528</v>
      </c>
      <c r="V28" s="16">
        <v>4.3602793250089444</v>
      </c>
      <c r="W28" s="16">
        <v>4.3191097889733117</v>
      </c>
      <c r="X28" s="16">
        <v>4.44620145772556</v>
      </c>
    </row>
    <row r="29" spans="1:24" s="14" customFormat="1" x14ac:dyDescent="0.2">
      <c r="A29" s="4" t="s">
        <v>6</v>
      </c>
      <c r="B29" s="14" t="s">
        <v>49</v>
      </c>
      <c r="C29" s="14" t="s">
        <v>52</v>
      </c>
      <c r="D29" s="99">
        <v>56</v>
      </c>
      <c r="E29" s="11">
        <v>156</v>
      </c>
      <c r="F29" s="12">
        <v>500</v>
      </c>
      <c r="G29" s="13">
        <v>2.5</v>
      </c>
      <c r="H29" s="16">
        <v>5.2844849018777484</v>
      </c>
      <c r="I29" s="16">
        <v>5.0672157202563115</v>
      </c>
      <c r="J29" s="16">
        <v>5.5288173258684488</v>
      </c>
      <c r="K29" s="16">
        <v>5.2524877076898919</v>
      </c>
      <c r="L29" s="16">
        <v>5.010483792426724</v>
      </c>
      <c r="M29" s="16">
        <v>5.3379286310132574</v>
      </c>
      <c r="N29" s="16">
        <v>4.08721767412798</v>
      </c>
      <c r="O29" s="16">
        <v>4.2131602387556368</v>
      </c>
      <c r="P29" s="16">
        <v>2.4027601520334905</v>
      </c>
      <c r="Q29" s="16">
        <v>4.3970894178810296</v>
      </c>
      <c r="R29" s="16">
        <v>4.6341245833249092</v>
      </c>
      <c r="S29" s="16">
        <v>3.7415838318199834</v>
      </c>
      <c r="T29" s="16">
        <v>3.6728298602060416</v>
      </c>
      <c r="U29" s="16">
        <v>4.6464764799592011</v>
      </c>
      <c r="V29" s="16">
        <v>4.9484995057693499</v>
      </c>
      <c r="W29" s="16">
        <v>3.5408070780929699</v>
      </c>
      <c r="X29" s="16">
        <v>4.4164439380377507</v>
      </c>
    </row>
    <row r="30" spans="1:24" s="14" customFormat="1" x14ac:dyDescent="0.2">
      <c r="A30" s="4" t="s">
        <v>6</v>
      </c>
      <c r="B30" s="14" t="s">
        <v>49</v>
      </c>
      <c r="C30" s="14" t="s">
        <v>52</v>
      </c>
      <c r="D30" s="99">
        <v>56</v>
      </c>
      <c r="E30" s="11">
        <v>256</v>
      </c>
      <c r="F30" s="12">
        <v>926</v>
      </c>
      <c r="G30" s="13">
        <v>5</v>
      </c>
      <c r="H30" s="16">
        <v>5.1704589246806441</v>
      </c>
      <c r="I30" s="16">
        <v>4.8754405389957354</v>
      </c>
      <c r="J30" s="16">
        <v>5.0005265830578658</v>
      </c>
      <c r="K30" s="16">
        <v>5.3350385923903225</v>
      </c>
      <c r="L30" s="16">
        <v>5.2209260771390973</v>
      </c>
      <c r="M30" s="16">
        <v>5.6351616560039259</v>
      </c>
      <c r="N30" s="16">
        <v>3.3292736154565805</v>
      </c>
      <c r="O30" s="16">
        <v>3.6105889450018847</v>
      </c>
      <c r="P30" s="16">
        <v>4.420862043623548</v>
      </c>
      <c r="Q30" s="16">
        <v>4.7101624906705455</v>
      </c>
      <c r="R30" s="16">
        <v>4.6874489891260458</v>
      </c>
      <c r="S30" s="16">
        <v>3.2703603795792398</v>
      </c>
      <c r="T30" s="16">
        <v>4.6885282690625454</v>
      </c>
      <c r="U30" s="16">
        <v>4.5780685805638388</v>
      </c>
      <c r="V30" s="16">
        <v>4.7311913551476321</v>
      </c>
      <c r="W30" s="16">
        <v>3.9458070726783578</v>
      </c>
      <c r="X30" s="16">
        <v>4.1480858104165659</v>
      </c>
    </row>
    <row r="31" spans="1:24" s="14" customFormat="1" x14ac:dyDescent="0.2">
      <c r="A31" s="4" t="s">
        <v>6</v>
      </c>
      <c r="B31" s="14" t="s">
        <v>49</v>
      </c>
      <c r="C31" s="14" t="s">
        <v>52</v>
      </c>
      <c r="D31" s="99">
        <v>56</v>
      </c>
      <c r="E31" s="11">
        <v>356</v>
      </c>
      <c r="F31" s="12">
        <v>3704</v>
      </c>
      <c r="G31" s="13">
        <v>16</v>
      </c>
      <c r="H31" s="16">
        <v>5.500713216726612</v>
      </c>
      <c r="I31" s="16">
        <v>4.8542923188145961</v>
      </c>
      <c r="J31" s="16">
        <v>5.0622147317577797</v>
      </c>
      <c r="K31" s="16">
        <v>6.2285160695949973</v>
      </c>
      <c r="L31" s="16">
        <v>5.2990345594634549</v>
      </c>
      <c r="M31" s="16">
        <v>5.4749291393173465</v>
      </c>
      <c r="N31" s="16">
        <v>5.8401831915835176</v>
      </c>
      <c r="O31" s="16">
        <v>4.1546130287584928</v>
      </c>
      <c r="P31" s="16">
        <v>4.3627424675240967</v>
      </c>
      <c r="Q31" s="16">
        <v>4.0977686806247142</v>
      </c>
      <c r="R31" s="16">
        <v>4.9784755938387883</v>
      </c>
      <c r="S31" s="16">
        <v>2.6346477716640022</v>
      </c>
      <c r="T31" s="16">
        <v>5.2235340552070726</v>
      </c>
      <c r="U31" s="16">
        <v>4.3443403223702468</v>
      </c>
      <c r="V31" s="16">
        <v>5.113301376045591</v>
      </c>
      <c r="W31" s="16">
        <v>3.58966116092809</v>
      </c>
      <c r="X31" s="16">
        <v>4.1779903727385923</v>
      </c>
    </row>
    <row r="32" spans="1:24" s="14" customFormat="1" x14ac:dyDescent="0.2">
      <c r="A32" s="4" t="s">
        <v>6</v>
      </c>
      <c r="B32" s="14" t="s">
        <v>16</v>
      </c>
      <c r="C32" s="14" t="s">
        <v>17</v>
      </c>
      <c r="D32" s="99">
        <v>59</v>
      </c>
      <c r="E32" s="11">
        <v>159</v>
      </c>
      <c r="F32" s="12">
        <v>500</v>
      </c>
      <c r="G32" s="13">
        <v>2.5</v>
      </c>
      <c r="H32" s="16">
        <v>5.5190994572983509</v>
      </c>
      <c r="I32" s="16">
        <v>4.6879763160035379</v>
      </c>
      <c r="J32" s="16">
        <v>5.3529529479550755</v>
      </c>
      <c r="K32" s="16">
        <v>5.6976078284284073</v>
      </c>
      <c r="L32" s="16">
        <v>5.5884735804548153</v>
      </c>
      <c r="M32" s="16">
        <v>4.94259489957141</v>
      </c>
      <c r="N32" s="16">
        <v>3.5261538224391851</v>
      </c>
      <c r="O32" s="16">
        <v>4.4991439846659107</v>
      </c>
      <c r="P32" s="16">
        <v>4.8573586604791537</v>
      </c>
      <c r="Q32" s="16">
        <v>5.4843498688065484</v>
      </c>
      <c r="R32" s="16">
        <v>5.1271713467269118</v>
      </c>
      <c r="S32" s="16">
        <v>3.8745553062214553</v>
      </c>
      <c r="T32" s="16">
        <v>5.5151291525576669</v>
      </c>
      <c r="U32" s="16">
        <v>4.7886963981371231</v>
      </c>
      <c r="V32" s="16">
        <v>5.6723353476342311</v>
      </c>
      <c r="W32" s="16">
        <v>4.5602554731679774</v>
      </c>
      <c r="X32" s="16">
        <v>4.5525854510684152</v>
      </c>
    </row>
    <row r="33" spans="1:24" s="14" customFormat="1" x14ac:dyDescent="0.2">
      <c r="A33" s="4" t="s">
        <v>6</v>
      </c>
      <c r="B33" s="14" t="s">
        <v>16</v>
      </c>
      <c r="C33" s="14" t="s">
        <v>17</v>
      </c>
      <c r="D33" s="99">
        <v>59</v>
      </c>
      <c r="E33" s="11">
        <v>259</v>
      </c>
      <c r="F33" s="12">
        <v>926</v>
      </c>
      <c r="G33" s="13">
        <v>5</v>
      </c>
      <c r="H33" s="16">
        <v>5.3038164792716254</v>
      </c>
      <c r="I33" s="16">
        <v>4.7706940523708798</v>
      </c>
      <c r="J33" s="16">
        <v>5.2727506855239374</v>
      </c>
      <c r="K33" s="16">
        <v>6.1047940755172974</v>
      </c>
      <c r="L33" s="16">
        <v>3.5725421249562128</v>
      </c>
      <c r="M33" s="16">
        <v>4.9131783683767241</v>
      </c>
      <c r="N33" s="16">
        <v>4.0599258449088218</v>
      </c>
      <c r="O33" s="16">
        <v>5.0188861652904313</v>
      </c>
      <c r="P33" s="16">
        <v>4.7721869239253243</v>
      </c>
      <c r="Q33" s="16">
        <v>5.5696901949180155</v>
      </c>
      <c r="R33" s="16">
        <v>4.7652682647118842</v>
      </c>
      <c r="S33" s="16">
        <v>3.5001852015106025</v>
      </c>
      <c r="T33" s="16">
        <v>5.7430660845711214</v>
      </c>
      <c r="U33" s="16">
        <v>4.4803414625200677</v>
      </c>
      <c r="V33" s="16">
        <v>5.1224894507015515</v>
      </c>
      <c r="W33" s="16">
        <v>4.5383705823035694</v>
      </c>
      <c r="X33" s="16">
        <v>3.5154775404286438</v>
      </c>
    </row>
    <row r="34" spans="1:24" s="14" customFormat="1" x14ac:dyDescent="0.2">
      <c r="A34" s="4" t="s">
        <v>6</v>
      </c>
      <c r="B34" s="14" t="s">
        <v>16</v>
      </c>
      <c r="C34" s="14" t="s">
        <v>17</v>
      </c>
      <c r="D34" s="99">
        <v>59</v>
      </c>
      <c r="E34" s="11">
        <v>359</v>
      </c>
      <c r="F34" s="12">
        <v>3704</v>
      </c>
      <c r="G34" s="13">
        <v>16</v>
      </c>
      <c r="H34" s="16">
        <v>5.5973159239718759</v>
      </c>
      <c r="I34" s="16">
        <v>4.8164286165781478</v>
      </c>
      <c r="J34" s="16">
        <v>5.0539544378286152</v>
      </c>
      <c r="K34" s="16">
        <v>6.2128100382734752</v>
      </c>
      <c r="L34" s="16">
        <v>4.9851843408313226</v>
      </c>
      <c r="M34" s="16">
        <v>4.9904029298340404</v>
      </c>
      <c r="N34" s="16">
        <v>5.8115023734620612</v>
      </c>
      <c r="O34" s="16">
        <v>3.7025668887272842</v>
      </c>
      <c r="P34" s="16">
        <v>3.8486481957922853</v>
      </c>
      <c r="Q34" s="16">
        <v>3.4793998738179344</v>
      </c>
      <c r="R34" s="16">
        <v>4.4315413151962382</v>
      </c>
      <c r="S34" s="16">
        <v>4.2850395284304206</v>
      </c>
      <c r="T34" s="16">
        <v>3.9254218707354394</v>
      </c>
      <c r="U34" s="16">
        <v>4.1836763123291068</v>
      </c>
      <c r="V34" s="16">
        <v>4.7971155101949545</v>
      </c>
      <c r="W34" s="16">
        <v>3.3781080196988906</v>
      </c>
      <c r="X34" s="16">
        <v>4.2206380932047685</v>
      </c>
    </row>
    <row r="35" spans="1:24" s="14" customFormat="1" x14ac:dyDescent="0.2">
      <c r="A35" s="4" t="s">
        <v>6</v>
      </c>
      <c r="B35" s="14" t="s">
        <v>16</v>
      </c>
      <c r="C35" s="14" t="s">
        <v>18</v>
      </c>
      <c r="D35" s="99">
        <v>62</v>
      </c>
      <c r="E35" s="11">
        <v>162</v>
      </c>
      <c r="F35" s="12">
        <v>500</v>
      </c>
      <c r="G35" s="13">
        <v>2.5</v>
      </c>
      <c r="H35" s="16">
        <v>6.066651329670492</v>
      </c>
      <c r="I35" s="16">
        <v>6.6667525978907261</v>
      </c>
      <c r="J35" s="16">
        <v>5.8721105943422671</v>
      </c>
      <c r="K35" s="16">
        <v>6.1344013312840175</v>
      </c>
      <c r="L35" s="16">
        <v>4.1779264259084625</v>
      </c>
      <c r="M35" s="16">
        <v>5.0983573571136489</v>
      </c>
      <c r="N35" s="16">
        <v>5.5973775038513578</v>
      </c>
      <c r="O35" s="16">
        <v>4.84171495212947</v>
      </c>
      <c r="P35" s="16">
        <v>6.1207872366219487</v>
      </c>
      <c r="Q35" s="16">
        <v>7.5492211825467477</v>
      </c>
      <c r="R35" s="16">
        <v>4.6149293510698417</v>
      </c>
      <c r="S35" s="16">
        <v>4.7679356517663916</v>
      </c>
      <c r="T35" s="16">
        <v>5.5211859322128012</v>
      </c>
      <c r="U35" s="16">
        <v>5.0667516737672047</v>
      </c>
      <c r="V35" s="16">
        <v>5.2569989494795397</v>
      </c>
      <c r="W35" s="16">
        <v>5.1917089657512969</v>
      </c>
      <c r="X35" s="16">
        <v>5.3635733322443473</v>
      </c>
    </row>
    <row r="36" spans="1:24" s="14" customFormat="1" x14ac:dyDescent="0.2">
      <c r="A36" s="4" t="s">
        <v>6</v>
      </c>
      <c r="B36" s="14" t="s">
        <v>16</v>
      </c>
      <c r="C36" s="14" t="s">
        <v>18</v>
      </c>
      <c r="D36" s="99">
        <v>62</v>
      </c>
      <c r="E36" s="11">
        <v>262</v>
      </c>
      <c r="F36" s="12">
        <v>926</v>
      </c>
      <c r="G36" s="13">
        <v>5</v>
      </c>
      <c r="H36" s="16">
        <v>6.447074743446124</v>
      </c>
      <c r="I36" s="16">
        <v>5.9557475148242816</v>
      </c>
      <c r="J36" s="16">
        <v>5.7683954553840966</v>
      </c>
      <c r="K36" s="16">
        <v>6.6390065036455281</v>
      </c>
      <c r="L36" s="16">
        <v>4.8502871277916384</v>
      </c>
      <c r="M36" s="16">
        <v>5.8853018856480057</v>
      </c>
      <c r="N36" s="16">
        <v>5.120920931507098</v>
      </c>
      <c r="O36" s="16">
        <v>4.8670715452730642</v>
      </c>
      <c r="P36" s="16">
        <v>6.26776991632648</v>
      </c>
      <c r="Q36" s="16">
        <v>7.0923559341712972</v>
      </c>
      <c r="R36" s="16">
        <v>5.1921659422037783</v>
      </c>
      <c r="S36" s="16">
        <v>5.7366408346343647</v>
      </c>
      <c r="T36" s="16">
        <v>5.1893895518239939</v>
      </c>
      <c r="U36" s="16">
        <v>5.0396532595809038</v>
      </c>
      <c r="V36" s="16">
        <v>4.9996626404682836</v>
      </c>
      <c r="W36" s="16">
        <v>4.0692796521275847</v>
      </c>
      <c r="X36" s="16">
        <v>5.5946838790311029</v>
      </c>
    </row>
    <row r="37" spans="1:24" s="14" customFormat="1" x14ac:dyDescent="0.2">
      <c r="A37" s="4" t="s">
        <v>6</v>
      </c>
      <c r="B37" s="14" t="s">
        <v>16</v>
      </c>
      <c r="C37" s="14" t="s">
        <v>18</v>
      </c>
      <c r="D37" s="99">
        <v>62</v>
      </c>
      <c r="E37" s="11">
        <v>362</v>
      </c>
      <c r="F37" s="12">
        <v>3704</v>
      </c>
      <c r="G37" s="13">
        <v>17</v>
      </c>
      <c r="H37" s="16">
        <v>6.193243192213993</v>
      </c>
      <c r="I37" s="16">
        <v>6.113851975563513</v>
      </c>
      <c r="J37" s="16">
        <v>5.667798716475966</v>
      </c>
      <c r="K37" s="16">
        <v>6.6387273298303606</v>
      </c>
      <c r="L37" s="16">
        <v>5.6105889869883416</v>
      </c>
      <c r="M37" s="16">
        <v>4.4620694227972981</v>
      </c>
      <c r="N37" s="16">
        <v>6.5154059826799111</v>
      </c>
      <c r="O37" s="16">
        <v>5.4135133603236527</v>
      </c>
      <c r="P37" s="16">
        <v>4.4057948559878808</v>
      </c>
      <c r="Q37" s="16">
        <v>6.0283220257720629</v>
      </c>
      <c r="R37" s="16">
        <v>4.0558924463614323</v>
      </c>
      <c r="S37" s="16">
        <v>5.3549927013494552</v>
      </c>
      <c r="T37" s="16">
        <v>4.7176581570481204</v>
      </c>
      <c r="U37" s="16">
        <v>4.1290046154022342</v>
      </c>
      <c r="V37" s="16">
        <v>4.9643663918900396</v>
      </c>
      <c r="W37" s="16">
        <v>3.3444915368021495</v>
      </c>
      <c r="X37" s="16">
        <v>5.2706608759163922</v>
      </c>
    </row>
    <row r="38" spans="1:24" s="14" customFormat="1" x14ac:dyDescent="0.2">
      <c r="A38" s="4" t="s">
        <v>6</v>
      </c>
      <c r="B38" s="14" t="s">
        <v>16</v>
      </c>
      <c r="C38" s="14" t="s">
        <v>53</v>
      </c>
      <c r="D38" s="99">
        <v>64</v>
      </c>
      <c r="E38" s="11">
        <v>164</v>
      </c>
      <c r="F38" s="12">
        <v>500</v>
      </c>
      <c r="G38" s="13">
        <v>2.5</v>
      </c>
      <c r="H38" s="16">
        <v>5.7249763254167565</v>
      </c>
      <c r="I38" s="16">
        <v>5.7058464985559683</v>
      </c>
      <c r="J38" s="16">
        <v>5.9865150042451036</v>
      </c>
      <c r="K38" s="16">
        <v>5.9690573164045198</v>
      </c>
      <c r="L38" s="16">
        <v>5.6473426139998235</v>
      </c>
      <c r="M38" s="16">
        <v>5.5296198846905762</v>
      </c>
      <c r="N38" s="16">
        <v>5.9500158013070532</v>
      </c>
      <c r="O38" s="16">
        <v>5.0258574095296114</v>
      </c>
      <c r="P38" s="16">
        <v>6.1811906187436705</v>
      </c>
      <c r="Q38" s="16">
        <v>7.3374593396332921</v>
      </c>
      <c r="R38" s="16">
        <v>6.3251839986032525</v>
      </c>
      <c r="S38" s="16">
        <v>5.3224589976418395</v>
      </c>
      <c r="T38" s="16">
        <v>5.1415278080225173</v>
      </c>
      <c r="U38" s="16">
        <v>5.6922508880819516</v>
      </c>
      <c r="V38" s="16">
        <v>5.5658352446036643</v>
      </c>
      <c r="W38" s="16">
        <v>5.4718403595617717</v>
      </c>
      <c r="X38" s="16">
        <v>4.0934994679276508</v>
      </c>
    </row>
    <row r="39" spans="1:24" s="14" customFormat="1" x14ac:dyDescent="0.2">
      <c r="A39" s="4" t="s">
        <v>6</v>
      </c>
      <c r="B39" s="14" t="s">
        <v>16</v>
      </c>
      <c r="C39" s="14" t="s">
        <v>53</v>
      </c>
      <c r="D39" s="99">
        <v>64</v>
      </c>
      <c r="E39" s="11">
        <v>264</v>
      </c>
      <c r="F39" s="12">
        <v>926</v>
      </c>
      <c r="G39" s="13">
        <v>9.5</v>
      </c>
      <c r="H39" s="16">
        <v>6.0170998030117913</v>
      </c>
      <c r="I39" s="16">
        <v>6.0233633215610984</v>
      </c>
      <c r="J39" s="16">
        <v>5.7309919433647929</v>
      </c>
      <c r="K39" s="16">
        <v>7.1074217811708147</v>
      </c>
      <c r="L39" s="16">
        <v>5.2953161190439717</v>
      </c>
      <c r="M39" s="16">
        <v>4.527478279299114</v>
      </c>
      <c r="N39" s="16">
        <v>5.4490498940828838</v>
      </c>
      <c r="O39" s="16">
        <v>5.3127522913587057</v>
      </c>
      <c r="P39" s="16">
        <v>6.1958280879356478</v>
      </c>
      <c r="Q39" s="16">
        <v>6.8271915770506553</v>
      </c>
      <c r="R39" s="16">
        <v>5.4653982000107106</v>
      </c>
      <c r="S39" s="16">
        <v>5.6021243007425481</v>
      </c>
      <c r="T39" s="16">
        <v>5.3212827458245462</v>
      </c>
      <c r="U39" s="16">
        <v>5.2306827587729305</v>
      </c>
      <c r="V39" s="16">
        <v>5.6849000973768273</v>
      </c>
      <c r="W39" s="16">
        <v>5.3990468577151898</v>
      </c>
      <c r="X39" s="16">
        <v>4.5657962191664305</v>
      </c>
    </row>
    <row r="40" spans="1:24" s="14" customFormat="1" x14ac:dyDescent="0.2">
      <c r="A40" s="4" t="s">
        <v>6</v>
      </c>
      <c r="B40" s="14" t="s">
        <v>16</v>
      </c>
      <c r="C40" s="14" t="s">
        <v>53</v>
      </c>
      <c r="D40" s="99">
        <v>64</v>
      </c>
      <c r="E40" s="11">
        <v>364</v>
      </c>
      <c r="F40" s="12">
        <v>3704</v>
      </c>
      <c r="G40" s="13">
        <v>19</v>
      </c>
      <c r="H40" s="16">
        <v>5.9631088774817878</v>
      </c>
      <c r="I40" s="16">
        <v>6.0353791841104805</v>
      </c>
      <c r="J40" s="16">
        <v>5.8632051129018681</v>
      </c>
      <c r="K40" s="16">
        <v>6.6954304013201016</v>
      </c>
      <c r="L40" s="16">
        <v>5.2828394067758069</v>
      </c>
      <c r="M40" s="16">
        <v>4.6992077034863469</v>
      </c>
      <c r="N40" s="16">
        <v>6.3288615697052197</v>
      </c>
      <c r="O40" s="16">
        <v>4.3803806140697894</v>
      </c>
      <c r="P40" s="16">
        <v>4.1249729521029392</v>
      </c>
      <c r="Q40" s="16">
        <v>4.7312461063088698</v>
      </c>
      <c r="R40" s="16">
        <v>4.5661401308681695</v>
      </c>
      <c r="S40" s="16">
        <v>5.8541653868348922</v>
      </c>
      <c r="T40" s="16">
        <v>4.5081632902210433</v>
      </c>
      <c r="U40" s="16">
        <v>3.9377802623028555</v>
      </c>
      <c r="V40" s="16">
        <v>4.8327439650906658</v>
      </c>
      <c r="W40" s="16">
        <v>3.4895791155626821</v>
      </c>
      <c r="X40" s="16">
        <v>5.2625522015409949</v>
      </c>
    </row>
    <row r="41" spans="1:24" s="14" customFormat="1" x14ac:dyDescent="0.2">
      <c r="A41" s="4" t="s">
        <v>19</v>
      </c>
      <c r="B41" s="14" t="s">
        <v>20</v>
      </c>
      <c r="C41" s="14" t="s">
        <v>21</v>
      </c>
      <c r="D41" s="99">
        <v>68</v>
      </c>
      <c r="E41" s="11">
        <v>168</v>
      </c>
      <c r="F41" s="12">
        <v>500</v>
      </c>
      <c r="G41" s="13">
        <v>2.5</v>
      </c>
      <c r="H41" s="16">
        <v>5.3420518873815528</v>
      </c>
      <c r="I41" s="16">
        <v>5.4393256611809084</v>
      </c>
      <c r="J41" s="16">
        <v>5.2312090456674616</v>
      </c>
      <c r="K41" s="16">
        <v>5.9156717941954975</v>
      </c>
      <c r="L41" s="16">
        <v>5.3409989043064225</v>
      </c>
      <c r="M41" s="16">
        <v>4.6950602700349604</v>
      </c>
      <c r="N41" s="16">
        <v>5.9796441983767892</v>
      </c>
      <c r="O41" s="16">
        <v>4.6909161650999733</v>
      </c>
      <c r="P41" s="16">
        <v>5.3295670656820482</v>
      </c>
      <c r="Q41" s="16">
        <v>6.0763273991755602</v>
      </c>
      <c r="R41" s="16">
        <v>5.4335357884650355</v>
      </c>
      <c r="S41" s="16">
        <v>5.5966791428982878</v>
      </c>
      <c r="T41" s="16">
        <v>4.784292090372352</v>
      </c>
      <c r="U41" s="16">
        <v>5.0755351955271557</v>
      </c>
      <c r="V41" s="16">
        <v>5.2581957006332045</v>
      </c>
      <c r="W41" s="16">
        <v>4.4416921921631527</v>
      </c>
      <c r="X41" s="16">
        <v>4.4309904271090588</v>
      </c>
    </row>
    <row r="42" spans="1:24" s="14" customFormat="1" x14ac:dyDescent="0.2">
      <c r="A42" s="4" t="s">
        <v>19</v>
      </c>
      <c r="B42" s="14" t="s">
        <v>20</v>
      </c>
      <c r="C42" s="14" t="s">
        <v>21</v>
      </c>
      <c r="D42" s="99">
        <v>68</v>
      </c>
      <c r="E42" s="11">
        <v>268</v>
      </c>
      <c r="F42" s="12">
        <v>926</v>
      </c>
      <c r="G42" s="13">
        <v>8.5</v>
      </c>
      <c r="H42" s="16">
        <v>5.5366723891426668</v>
      </c>
      <c r="I42" s="16">
        <v>5.2200189455888308</v>
      </c>
      <c r="J42" s="16">
        <v>5.7227866746011946</v>
      </c>
      <c r="K42" s="16">
        <v>6.4500143076514824</v>
      </c>
      <c r="L42" s="16">
        <v>5.6822595391715831</v>
      </c>
      <c r="M42" s="16">
        <v>4.9901817536630295</v>
      </c>
      <c r="N42" s="16">
        <v>6.483551241674002</v>
      </c>
      <c r="O42" s="16">
        <v>5.4750896982921864</v>
      </c>
      <c r="P42" s="16">
        <v>5.0861262915533727</v>
      </c>
      <c r="Q42" s="16">
        <v>6.6990095749136991</v>
      </c>
      <c r="R42" s="16">
        <v>4.4808800406159</v>
      </c>
      <c r="S42" s="16">
        <v>5.938162768203517</v>
      </c>
      <c r="T42" s="16">
        <v>4.9887898576610201</v>
      </c>
      <c r="U42" s="16">
        <v>5.0836657367490741</v>
      </c>
      <c r="V42" s="16">
        <v>5.3976528790821314</v>
      </c>
      <c r="W42" s="16">
        <v>4.610783965599496</v>
      </c>
      <c r="X42" s="16">
        <v>4.1491327859210356</v>
      </c>
    </row>
    <row r="43" spans="1:24" s="14" customFormat="1" x14ac:dyDescent="0.2">
      <c r="A43" s="4" t="s">
        <v>19</v>
      </c>
      <c r="B43" s="14" t="s">
        <v>20</v>
      </c>
      <c r="C43" s="14" t="s">
        <v>21</v>
      </c>
      <c r="D43" s="99">
        <v>68</v>
      </c>
      <c r="E43" s="11">
        <v>368</v>
      </c>
      <c r="F43" s="12">
        <v>3704</v>
      </c>
      <c r="G43" s="13">
        <v>16.5</v>
      </c>
      <c r="H43" s="16">
        <v>5.7239320184128157</v>
      </c>
      <c r="I43" s="16">
        <v>5.3376127495744958</v>
      </c>
      <c r="J43" s="16">
        <v>5.5812352125905988</v>
      </c>
      <c r="K43" s="16">
        <v>6.7114964854808079</v>
      </c>
      <c r="L43" s="16">
        <v>5.198384823838631</v>
      </c>
      <c r="M43" s="16">
        <v>4.911868924201884</v>
      </c>
      <c r="N43" s="16">
        <v>6.5644608611656796</v>
      </c>
      <c r="O43" s="16">
        <v>5.5224950466234173</v>
      </c>
      <c r="P43" s="16">
        <v>5.6389879614647622</v>
      </c>
      <c r="Q43" s="16">
        <v>6.309592640377951</v>
      </c>
      <c r="R43" s="16">
        <v>5.8022367206665866</v>
      </c>
      <c r="S43" s="16">
        <v>6.141333709135032</v>
      </c>
      <c r="T43" s="16">
        <v>4.144214431118824</v>
      </c>
      <c r="U43" s="16">
        <v>4.7312812993299049</v>
      </c>
      <c r="V43" s="16">
        <v>5.2095050121077175</v>
      </c>
      <c r="W43" s="16">
        <v>4.5567211264591725</v>
      </c>
      <c r="X43" s="16">
        <v>4.2196026126735386</v>
      </c>
    </row>
    <row r="44" spans="1:24" s="14" customFormat="1" x14ac:dyDescent="0.2">
      <c r="A44" s="4" t="s">
        <v>19</v>
      </c>
      <c r="B44" s="14" t="s">
        <v>20</v>
      </c>
      <c r="C44" s="14" t="s">
        <v>54</v>
      </c>
      <c r="D44" s="99">
        <v>72</v>
      </c>
      <c r="E44" s="11">
        <v>172</v>
      </c>
      <c r="F44" s="12">
        <v>500</v>
      </c>
      <c r="G44" s="13">
        <v>2</v>
      </c>
      <c r="H44" s="16">
        <v>5.368718174352038</v>
      </c>
      <c r="I44" s="16">
        <v>5.1785746505415329</v>
      </c>
      <c r="J44" s="16">
        <v>5.6457567952456369</v>
      </c>
      <c r="K44" s="16">
        <v>5.8842611366756197</v>
      </c>
      <c r="L44" s="16">
        <v>5.6344649191265574</v>
      </c>
      <c r="M44" s="16">
        <v>4.8209323066322112</v>
      </c>
      <c r="N44" s="16">
        <v>6.6825480673289253</v>
      </c>
      <c r="O44" s="16">
        <v>4.6557276024815506</v>
      </c>
      <c r="P44" s="16">
        <v>5.7666761392325885</v>
      </c>
      <c r="Q44" s="16">
        <v>6.3386700206990163</v>
      </c>
      <c r="R44" s="16">
        <v>6.157195594268833</v>
      </c>
      <c r="S44" s="16">
        <v>5.0421979478622996</v>
      </c>
      <c r="T44" s="16">
        <v>4.8169808640812448</v>
      </c>
      <c r="U44" s="16">
        <v>5.3244129813101502</v>
      </c>
      <c r="V44" s="16">
        <v>5.3516770460435295</v>
      </c>
      <c r="W44" s="16">
        <v>3.4349822704201016</v>
      </c>
      <c r="X44" s="16">
        <v>4.4309352310053605</v>
      </c>
    </row>
    <row r="45" spans="1:24" s="14" customFormat="1" x14ac:dyDescent="0.2">
      <c r="A45" s="4" t="s">
        <v>19</v>
      </c>
      <c r="B45" s="14" t="s">
        <v>20</v>
      </c>
      <c r="C45" s="14" t="s">
        <v>54</v>
      </c>
      <c r="D45" s="99">
        <v>72</v>
      </c>
      <c r="E45" s="11">
        <v>272</v>
      </c>
      <c r="F45" s="12">
        <v>926</v>
      </c>
      <c r="G45" s="13">
        <v>3.5</v>
      </c>
      <c r="H45" s="16">
        <v>6.1301023060173554</v>
      </c>
      <c r="I45" s="16">
        <v>5.4229754800508649</v>
      </c>
      <c r="J45" s="16">
        <v>5.2086821709482427</v>
      </c>
      <c r="K45" s="16">
        <v>5.8266122941316709</v>
      </c>
      <c r="L45" s="16">
        <v>4.8944189834869558</v>
      </c>
      <c r="M45" s="16">
        <v>5.1721964819543178</v>
      </c>
      <c r="N45" s="16">
        <v>6.6566702336551096</v>
      </c>
      <c r="O45" s="16">
        <v>4.9005409574540737</v>
      </c>
      <c r="P45" s="16">
        <v>5.9514002819433509</v>
      </c>
      <c r="Q45" s="16">
        <v>6.4014735368978135</v>
      </c>
      <c r="R45" s="16">
        <v>4.1744407387437583</v>
      </c>
      <c r="S45" s="16">
        <v>5.8716108494225736</v>
      </c>
      <c r="T45" s="16">
        <v>4.4803367283288944</v>
      </c>
      <c r="U45" s="16">
        <v>5.1350062483662784</v>
      </c>
      <c r="V45" s="16">
        <v>5.4270853882883676</v>
      </c>
      <c r="W45" s="16">
        <v>3.7912990760164922</v>
      </c>
      <c r="X45" s="16">
        <v>4.5081293982390331</v>
      </c>
    </row>
    <row r="46" spans="1:24" x14ac:dyDescent="0.2">
      <c r="A46" s="4" t="s">
        <v>19</v>
      </c>
      <c r="B46" s="14" t="s">
        <v>20</v>
      </c>
      <c r="C46" s="14" t="s">
        <v>54</v>
      </c>
      <c r="D46" s="99">
        <v>72</v>
      </c>
      <c r="E46" s="11">
        <v>372</v>
      </c>
      <c r="F46" s="12">
        <v>3704</v>
      </c>
      <c r="G46" s="13">
        <v>13.5</v>
      </c>
      <c r="H46" s="16">
        <v>6.1766247826963001</v>
      </c>
      <c r="I46" s="16">
        <v>5.6219344992226219</v>
      </c>
      <c r="J46" s="16">
        <v>5.8545599577961838</v>
      </c>
      <c r="K46" s="16">
        <v>5.5714007098076284</v>
      </c>
      <c r="L46" s="16">
        <v>5.5373767183113616</v>
      </c>
      <c r="M46" s="16">
        <v>5.0091423073614916</v>
      </c>
      <c r="N46" s="16">
        <v>6.3470274521097512</v>
      </c>
      <c r="O46" s="16">
        <v>4.8329914610826252</v>
      </c>
      <c r="P46" s="16">
        <v>5.4248746846709199</v>
      </c>
      <c r="Q46" s="16">
        <v>6.4571164648182151</v>
      </c>
      <c r="R46" s="16">
        <v>5.3635612753358455</v>
      </c>
      <c r="S46" s="16">
        <v>5.5926468123283968</v>
      </c>
      <c r="T46" s="16">
        <v>4.2894541643191966</v>
      </c>
      <c r="U46" s="16">
        <v>4.8058987752027988</v>
      </c>
      <c r="V46" s="16">
        <v>5.150412525967516</v>
      </c>
      <c r="W46" s="16">
        <v>2.9974243057708057</v>
      </c>
      <c r="X46" s="16">
        <v>4.1016613001218314</v>
      </c>
    </row>
    <row r="47" spans="1:24" x14ac:dyDescent="0.2">
      <c r="A47" s="4" t="s">
        <v>19</v>
      </c>
      <c r="B47" s="15" t="s">
        <v>22</v>
      </c>
      <c r="C47" s="15" t="s">
        <v>23</v>
      </c>
      <c r="D47" s="99">
        <v>77</v>
      </c>
      <c r="E47" s="11">
        <v>177</v>
      </c>
      <c r="F47" s="12">
        <v>500</v>
      </c>
      <c r="G47" s="13">
        <v>2</v>
      </c>
      <c r="H47" s="16">
        <v>6.1381061481496761</v>
      </c>
      <c r="I47" s="16">
        <v>6.0250624447148962</v>
      </c>
      <c r="J47" s="16">
        <v>6.266639322798623</v>
      </c>
      <c r="K47" s="16">
        <v>5.7550253635279098</v>
      </c>
      <c r="L47" s="16">
        <v>6.2211981047705294</v>
      </c>
      <c r="M47" s="16">
        <v>4.9254613261378326</v>
      </c>
      <c r="N47" s="16">
        <v>6.9091521951636228</v>
      </c>
      <c r="O47" s="16">
        <v>3.7653457807600339</v>
      </c>
      <c r="P47" s="16">
        <v>6.972603078803572</v>
      </c>
      <c r="Q47" s="16">
        <v>6.2210566358036781</v>
      </c>
      <c r="R47" s="16">
        <v>5.757376113128414</v>
      </c>
      <c r="S47" s="16">
        <v>5.2951243013664673</v>
      </c>
      <c r="T47" s="16">
        <v>4.8396935151267888</v>
      </c>
      <c r="U47" s="16">
        <v>5.0415427795041117</v>
      </c>
      <c r="V47" s="16">
        <v>5.3367529810121734</v>
      </c>
      <c r="W47" s="16">
        <v>3.2344101163748307</v>
      </c>
      <c r="X47" s="16">
        <v>4.7275265436492759</v>
      </c>
    </row>
    <row r="48" spans="1:24" x14ac:dyDescent="0.2">
      <c r="A48" s="4" t="s">
        <v>19</v>
      </c>
      <c r="B48" s="15" t="s">
        <v>22</v>
      </c>
      <c r="C48" s="15" t="s">
        <v>23</v>
      </c>
      <c r="D48" s="99">
        <v>77</v>
      </c>
      <c r="E48" s="11">
        <v>277</v>
      </c>
      <c r="F48" s="12">
        <v>926</v>
      </c>
      <c r="G48" s="13">
        <v>4</v>
      </c>
      <c r="H48" s="16">
        <v>6.0963102175481207</v>
      </c>
      <c r="I48" s="16">
        <v>5.6887619123219393</v>
      </c>
      <c r="J48" s="16">
        <v>6.8900890624731659</v>
      </c>
      <c r="K48" s="16">
        <v>5.6545686464299996</v>
      </c>
      <c r="L48" s="16">
        <v>6.4099081260054742</v>
      </c>
      <c r="M48" s="16">
        <v>5.9221062645094991</v>
      </c>
      <c r="N48" s="16">
        <v>6.7193560205574911</v>
      </c>
      <c r="O48" s="16">
        <v>4.8428811860793095</v>
      </c>
      <c r="P48" s="16">
        <v>6.4218508724365089</v>
      </c>
      <c r="Q48" s="16">
        <v>6.0650101928622506</v>
      </c>
      <c r="R48" s="16">
        <v>4.8968469908947982</v>
      </c>
      <c r="S48" s="16">
        <v>5.3032241462436405</v>
      </c>
      <c r="T48" s="16">
        <v>4.9829205309358926</v>
      </c>
      <c r="U48" s="16">
        <v>5.2918401702329794</v>
      </c>
      <c r="V48" s="16">
        <v>5.4693879212073409</v>
      </c>
      <c r="W48" s="16">
        <v>2.4882632784453471</v>
      </c>
      <c r="X48" s="16">
        <v>3.8792611250777504</v>
      </c>
    </row>
    <row r="49" spans="1:24" x14ac:dyDescent="0.2">
      <c r="A49" s="4" t="s">
        <v>19</v>
      </c>
      <c r="B49" s="15" t="s">
        <v>22</v>
      </c>
      <c r="C49" s="15" t="s">
        <v>23</v>
      </c>
      <c r="D49" s="99">
        <v>77</v>
      </c>
      <c r="E49" s="11">
        <v>377</v>
      </c>
      <c r="F49" s="12">
        <v>3704</v>
      </c>
      <c r="G49" s="13">
        <v>13.5</v>
      </c>
      <c r="H49" s="16">
        <v>5.7345632349863944</v>
      </c>
      <c r="I49" s="16">
        <v>5.7396305911154162</v>
      </c>
      <c r="J49" s="16">
        <v>5.7877733104741669</v>
      </c>
      <c r="K49" s="16">
        <v>5.2868332880481512</v>
      </c>
      <c r="L49" s="16">
        <v>5.0860170599137611</v>
      </c>
      <c r="M49" s="16">
        <v>5.2887429090403435</v>
      </c>
      <c r="N49" s="16">
        <v>6.8096881733693122</v>
      </c>
      <c r="O49" s="16">
        <v>5.1527354724641894</v>
      </c>
      <c r="P49" s="16">
        <v>6.1889845816719893</v>
      </c>
      <c r="Q49" s="16">
        <v>6.7079993383344227</v>
      </c>
      <c r="R49" s="16">
        <v>5.4237330957534935</v>
      </c>
      <c r="S49" s="16">
        <v>4.8283793895700278</v>
      </c>
      <c r="T49" s="16">
        <v>4.6458613834015141</v>
      </c>
      <c r="U49" s="16">
        <v>4.9053111846543249</v>
      </c>
      <c r="V49" s="16">
        <v>5.5825470110938671</v>
      </c>
      <c r="W49" s="16">
        <v>2.799124193107021</v>
      </c>
      <c r="X49" s="16">
        <v>4.6047189132158373</v>
      </c>
    </row>
    <row r="50" spans="1:24" ht="12.75" customHeight="1" x14ac:dyDescent="0.2">
      <c r="A50" s="4"/>
      <c r="F50" s="12"/>
      <c r="G50" s="8"/>
    </row>
    <row r="51" spans="1:24" ht="12.75" customHeight="1" x14ac:dyDescent="0.2">
      <c r="A51" s="4"/>
      <c r="F51" s="12"/>
      <c r="G51" s="8"/>
    </row>
    <row r="52" spans="1:24" ht="12.75" customHeight="1" x14ac:dyDescent="0.2">
      <c r="A52" s="4"/>
      <c r="F52" s="12"/>
      <c r="G52" s="8"/>
    </row>
    <row r="53" spans="1:24" ht="12.75" customHeight="1" x14ac:dyDescent="0.2">
      <c r="A53" s="4"/>
      <c r="F53" s="12"/>
      <c r="G53" s="9"/>
    </row>
    <row r="54" spans="1:24" ht="12.75" customHeight="1" x14ac:dyDescent="0.2">
      <c r="A54" s="4"/>
      <c r="F54" s="12"/>
      <c r="G54" s="9"/>
    </row>
    <row r="55" spans="1:24" ht="12.75" customHeight="1" x14ac:dyDescent="0.2">
      <c r="A55" s="4"/>
      <c r="F55" s="12"/>
      <c r="G55" s="9"/>
    </row>
    <row r="56" spans="1:24" x14ac:dyDescent="0.2">
      <c r="A56" s="4"/>
      <c r="F56" s="12"/>
      <c r="G56" s="9"/>
    </row>
    <row r="57" spans="1:24" x14ac:dyDescent="0.2">
      <c r="A57" s="4"/>
      <c r="F57" s="12"/>
      <c r="G57" s="9"/>
    </row>
    <row r="58" spans="1:24" x14ac:dyDescent="0.2">
      <c r="A58" s="4"/>
      <c r="F58" s="12"/>
      <c r="G58" s="9"/>
    </row>
    <row r="59" spans="1:24" x14ac:dyDescent="0.2">
      <c r="A59" s="4"/>
      <c r="F59" s="12"/>
      <c r="G59" s="9"/>
    </row>
    <row r="60" spans="1:24" x14ac:dyDescent="0.2">
      <c r="A60" s="4"/>
      <c r="F60" s="12"/>
      <c r="G60" s="9"/>
    </row>
    <row r="61" spans="1:24" x14ac:dyDescent="0.2">
      <c r="A61" s="4"/>
      <c r="F61" s="12"/>
      <c r="G61" s="9"/>
    </row>
    <row r="68" spans="2:2" x14ac:dyDescent="0.2">
      <c r="B68" s="5"/>
    </row>
    <row r="69" spans="2:2" x14ac:dyDescent="0.2">
      <c r="B69" s="5"/>
    </row>
    <row r="70" spans="2:2" x14ac:dyDescent="0.2">
      <c r="B70" s="5"/>
    </row>
    <row r="71" spans="2:2" x14ac:dyDescent="0.2">
      <c r="B71" s="5"/>
    </row>
    <row r="72" spans="2:2" x14ac:dyDescent="0.2">
      <c r="B72" s="5"/>
    </row>
    <row r="73" spans="2:2" x14ac:dyDescent="0.2">
      <c r="B73" s="5"/>
    </row>
  </sheetData>
  <phoneticPr fontId="4" type="noConversion"/>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53"/>
  <sheetViews>
    <sheetView zoomScale="70" zoomScaleNormal="70" workbookViewId="0">
      <pane ySplit="2" topLeftCell="A3" activePane="bottomLeft" state="frozen"/>
      <selection activeCell="D1" sqref="D1"/>
      <selection pane="bottomLeft" activeCell="Q40" sqref="Q40"/>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customWidth="1"/>
    <col min="14" max="14" width="11" customWidth="1"/>
    <col min="15" max="15" width="10.5703125" customWidth="1"/>
    <col min="16" max="17" width="11.28515625" customWidth="1"/>
    <col min="18" max="18" width="12.28515625" customWidth="1"/>
    <col min="19" max="19" width="13.85546875" style="171" customWidth="1"/>
    <col min="20" max="21" width="13" customWidth="1"/>
    <col min="22" max="22" width="14.7109375" customWidth="1"/>
  </cols>
  <sheetData>
    <row r="1" spans="1:22" ht="51" customHeight="1" x14ac:dyDescent="0.2">
      <c r="P1" s="371" t="s">
        <v>90</v>
      </c>
      <c r="Q1" s="371"/>
      <c r="R1" s="371"/>
      <c r="S1" s="447" t="s">
        <v>94</v>
      </c>
      <c r="T1" s="448"/>
      <c r="U1" s="448"/>
      <c r="V1" s="449"/>
    </row>
    <row r="2" spans="1:22" ht="51" x14ac:dyDescent="0.2">
      <c r="A2" s="74" t="s">
        <v>0</v>
      </c>
      <c r="B2" s="75" t="s">
        <v>1</v>
      </c>
      <c r="C2" s="74" t="s">
        <v>2</v>
      </c>
      <c r="D2" s="25" t="s">
        <v>89</v>
      </c>
      <c r="E2" s="74" t="s">
        <v>81</v>
      </c>
      <c r="F2" s="74" t="s">
        <v>4</v>
      </c>
      <c r="G2" s="74" t="s">
        <v>5</v>
      </c>
      <c r="H2" s="1" t="s">
        <v>85</v>
      </c>
      <c r="I2" s="3" t="s">
        <v>30</v>
      </c>
      <c r="J2" s="3" t="s">
        <v>31</v>
      </c>
      <c r="K2" s="3" t="s">
        <v>77</v>
      </c>
      <c r="L2" s="25" t="s">
        <v>76</v>
      </c>
      <c r="M2" s="25" t="s">
        <v>75</v>
      </c>
      <c r="N2" s="25" t="s">
        <v>74</v>
      </c>
      <c r="O2" s="25" t="s">
        <v>43</v>
      </c>
      <c r="P2" s="3" t="s">
        <v>71</v>
      </c>
      <c r="Q2" s="3" t="s">
        <v>72</v>
      </c>
      <c r="R2" s="3" t="s">
        <v>80</v>
      </c>
      <c r="S2" s="26" t="s">
        <v>107</v>
      </c>
      <c r="T2" s="146" t="s">
        <v>91</v>
      </c>
      <c r="U2" s="146" t="s">
        <v>92</v>
      </c>
      <c r="V2" s="146" t="s">
        <v>93</v>
      </c>
    </row>
    <row r="3" spans="1:22" x14ac:dyDescent="0.2">
      <c r="A3" s="183" t="s">
        <v>6</v>
      </c>
      <c r="B3" s="184" t="s">
        <v>9</v>
      </c>
      <c r="C3" s="184" t="s">
        <v>46</v>
      </c>
      <c r="D3" s="185">
        <v>8</v>
      </c>
      <c r="E3" s="186">
        <v>10080</v>
      </c>
      <c r="F3" s="187">
        <v>500</v>
      </c>
      <c r="G3" s="188">
        <v>3</v>
      </c>
      <c r="H3" s="424" t="s">
        <v>82</v>
      </c>
      <c r="I3" s="221">
        <v>3.2773516105637475</v>
      </c>
      <c r="J3" s="221">
        <v>4.1275666659938484</v>
      </c>
      <c r="K3" s="221">
        <v>4.4527267114229208</v>
      </c>
      <c r="L3" s="221">
        <v>3.8073206279161798</v>
      </c>
      <c r="M3" s="221">
        <v>3.4984267116961152</v>
      </c>
      <c r="N3" s="221">
        <v>2.8978657561590433</v>
      </c>
      <c r="O3" s="221">
        <v>4.4991539964126472</v>
      </c>
      <c r="P3" s="252">
        <v>3.7943449999999999</v>
      </c>
      <c r="Q3" s="454">
        <v>3.6407889999999998</v>
      </c>
      <c r="R3" s="456">
        <v>4.102252</v>
      </c>
      <c r="S3" s="359">
        <v>5</v>
      </c>
      <c r="T3" s="124">
        <f>(0/7)*100</f>
        <v>0</v>
      </c>
      <c r="U3" s="432">
        <f>(0/21)*100</f>
        <v>0</v>
      </c>
      <c r="V3" s="429">
        <f>(8/63)*100</f>
        <v>12.698412698412698</v>
      </c>
    </row>
    <row r="4" spans="1:22" x14ac:dyDescent="0.2">
      <c r="A4" s="189" t="s">
        <v>6</v>
      </c>
      <c r="B4" s="190" t="s">
        <v>9</v>
      </c>
      <c r="C4" s="190" t="s">
        <v>46</v>
      </c>
      <c r="D4" s="191">
        <v>8</v>
      </c>
      <c r="E4" s="192">
        <v>20080</v>
      </c>
      <c r="F4" s="181">
        <v>926</v>
      </c>
      <c r="G4" s="193">
        <v>6</v>
      </c>
      <c r="H4" s="425"/>
      <c r="I4" s="221">
        <v>3.7342997844287762</v>
      </c>
      <c r="J4" s="221">
        <v>4.3063598304351371</v>
      </c>
      <c r="K4" s="221">
        <v>3.3706286881138312</v>
      </c>
      <c r="L4" s="221">
        <v>3.4565957961918135</v>
      </c>
      <c r="M4" s="221">
        <v>3.9826563676387026</v>
      </c>
      <c r="N4" s="221">
        <v>3.3340068358956616</v>
      </c>
      <c r="O4" s="221">
        <v>4.3158234651306566</v>
      </c>
      <c r="P4" s="252">
        <v>3.7857669999999999</v>
      </c>
      <c r="Q4" s="455"/>
      <c r="R4" s="457"/>
      <c r="S4" s="360"/>
      <c r="T4" s="124">
        <f>(0/7)*100</f>
        <v>0</v>
      </c>
      <c r="U4" s="433"/>
      <c r="V4" s="430"/>
    </row>
    <row r="5" spans="1:22" x14ac:dyDescent="0.2">
      <c r="A5" s="194" t="s">
        <v>6</v>
      </c>
      <c r="B5" s="195" t="s">
        <v>9</v>
      </c>
      <c r="C5" s="195" t="s">
        <v>46</v>
      </c>
      <c r="D5" s="196">
        <v>8</v>
      </c>
      <c r="E5" s="197">
        <v>30080</v>
      </c>
      <c r="F5" s="198">
        <v>3704</v>
      </c>
      <c r="G5" s="199">
        <v>13</v>
      </c>
      <c r="H5" s="425"/>
      <c r="I5" s="221">
        <v>2.8097403157556333</v>
      </c>
      <c r="J5" s="221">
        <v>3.6708186236571283</v>
      </c>
      <c r="K5" s="221">
        <v>4.2358850298846242</v>
      </c>
      <c r="L5" s="221">
        <v>3.3215068351356329</v>
      </c>
      <c r="M5" s="221">
        <v>3.3758495089718688</v>
      </c>
      <c r="N5" s="221">
        <v>2.4651955872221731</v>
      </c>
      <c r="O5" s="221">
        <v>3.5167921322235296</v>
      </c>
      <c r="P5" s="252">
        <v>3.3422550000000002</v>
      </c>
      <c r="Q5" s="455"/>
      <c r="R5" s="457"/>
      <c r="S5" s="360"/>
      <c r="T5" s="124">
        <f>(0/7)*100</f>
        <v>0</v>
      </c>
      <c r="U5" s="434"/>
      <c r="V5" s="430"/>
    </row>
    <row r="6" spans="1:22" x14ac:dyDescent="0.2">
      <c r="A6" s="183" t="s">
        <v>6</v>
      </c>
      <c r="B6" s="184" t="s">
        <v>12</v>
      </c>
      <c r="C6" s="184" t="s">
        <v>47</v>
      </c>
      <c r="D6" s="185">
        <v>24</v>
      </c>
      <c r="E6" s="186">
        <v>10240</v>
      </c>
      <c r="F6" s="187">
        <v>500</v>
      </c>
      <c r="G6" s="200">
        <v>4</v>
      </c>
      <c r="H6" s="425"/>
      <c r="I6" s="221">
        <v>3.8158816394771895</v>
      </c>
      <c r="J6" s="221">
        <v>4.3155890985445611</v>
      </c>
      <c r="K6" s="221">
        <v>6.0930006892495063</v>
      </c>
      <c r="L6" s="221">
        <v>3.7274855576716321</v>
      </c>
      <c r="M6" s="221">
        <v>3.1129810036091272</v>
      </c>
      <c r="N6" s="221">
        <v>3.8471320393385695</v>
      </c>
      <c r="O6" s="221">
        <v>4.6731177519480864</v>
      </c>
      <c r="P6" s="253">
        <v>4.2264549999999996</v>
      </c>
      <c r="Q6" s="458">
        <v>4.1342379999999999</v>
      </c>
      <c r="R6" s="457"/>
      <c r="S6" s="360"/>
      <c r="T6" s="124">
        <f>(1/7)*100</f>
        <v>14.285714285714285</v>
      </c>
      <c r="U6" s="432">
        <f>(3/21)*100</f>
        <v>14.285714285714285</v>
      </c>
      <c r="V6" s="430"/>
    </row>
    <row r="7" spans="1:22" x14ac:dyDescent="0.2">
      <c r="A7" s="189" t="s">
        <v>6</v>
      </c>
      <c r="B7" s="190" t="s">
        <v>12</v>
      </c>
      <c r="C7" s="190" t="s">
        <v>47</v>
      </c>
      <c r="D7" s="191">
        <v>24</v>
      </c>
      <c r="E7" s="192">
        <v>20240</v>
      </c>
      <c r="F7" s="181">
        <v>926</v>
      </c>
      <c r="G7" s="201">
        <v>7</v>
      </c>
      <c r="H7" s="425"/>
      <c r="I7" s="221">
        <v>4.0378824611671504</v>
      </c>
      <c r="J7" s="221">
        <v>4.3212666192692994</v>
      </c>
      <c r="K7" s="221">
        <v>5.6391469000507417</v>
      </c>
      <c r="L7" s="221">
        <v>3.88164729278181</v>
      </c>
      <c r="M7" s="221">
        <v>3.3780157210008417</v>
      </c>
      <c r="N7" s="221">
        <v>4.1406821823974518</v>
      </c>
      <c r="O7" s="221">
        <v>4.496536782353008</v>
      </c>
      <c r="P7" s="253">
        <v>4.27074</v>
      </c>
      <c r="Q7" s="459"/>
      <c r="R7" s="457"/>
      <c r="S7" s="360"/>
      <c r="T7" s="124">
        <f>(1/7)*100</f>
        <v>14.285714285714285</v>
      </c>
      <c r="U7" s="433"/>
      <c r="V7" s="430"/>
    </row>
    <row r="8" spans="1:22" x14ac:dyDescent="0.2">
      <c r="A8" s="194" t="s">
        <v>6</v>
      </c>
      <c r="B8" s="195" t="s">
        <v>12</v>
      </c>
      <c r="C8" s="195" t="s">
        <v>47</v>
      </c>
      <c r="D8" s="196">
        <v>24</v>
      </c>
      <c r="E8" s="197">
        <v>30240</v>
      </c>
      <c r="F8" s="198">
        <v>3704</v>
      </c>
      <c r="G8" s="199">
        <v>15</v>
      </c>
      <c r="H8" s="425"/>
      <c r="I8" s="221">
        <v>3.0168663079113989</v>
      </c>
      <c r="J8" s="221">
        <v>5.0576874835702252</v>
      </c>
      <c r="K8" s="221">
        <v>4.8445985230231043</v>
      </c>
      <c r="L8" s="221">
        <v>3.9200393150263122</v>
      </c>
      <c r="M8" s="221">
        <v>2.9909215789812227</v>
      </c>
      <c r="N8" s="221">
        <v>3.7448101374397322</v>
      </c>
      <c r="O8" s="221">
        <v>3.7637156912716803</v>
      </c>
      <c r="P8" s="252">
        <v>3.9055200000000001</v>
      </c>
      <c r="Q8" s="459"/>
      <c r="R8" s="457"/>
      <c r="S8" s="360"/>
      <c r="T8" s="124">
        <f>(1/7)*100</f>
        <v>14.285714285714285</v>
      </c>
      <c r="U8" s="434"/>
      <c r="V8" s="430"/>
    </row>
    <row r="9" spans="1:22" x14ac:dyDescent="0.2">
      <c r="A9" s="183" t="s">
        <v>6</v>
      </c>
      <c r="B9" s="202" t="s">
        <v>13</v>
      </c>
      <c r="C9" s="184" t="s">
        <v>48</v>
      </c>
      <c r="D9" s="185">
        <v>40</v>
      </c>
      <c r="E9" s="186">
        <v>10400</v>
      </c>
      <c r="F9" s="187">
        <v>500</v>
      </c>
      <c r="G9" s="200">
        <v>3</v>
      </c>
      <c r="H9" s="425"/>
      <c r="I9" s="221">
        <v>4.4582022803621983</v>
      </c>
      <c r="J9" s="221">
        <v>4.805660629370216</v>
      </c>
      <c r="K9" s="221">
        <v>5.926268578522583</v>
      </c>
      <c r="L9" s="221">
        <v>5.1562789448467239</v>
      </c>
      <c r="M9" s="221">
        <v>4.4063537996255633</v>
      </c>
      <c r="N9" s="221">
        <v>4.5696532309427091</v>
      </c>
      <c r="O9" s="221">
        <v>4.4884465163224307</v>
      </c>
      <c r="P9" s="253">
        <v>4.8301230000000004</v>
      </c>
      <c r="Q9" s="458">
        <v>4.5317270000000001</v>
      </c>
      <c r="R9" s="457"/>
      <c r="S9" s="360"/>
      <c r="T9" s="124">
        <f>(2/7)*100</f>
        <v>28.571428571428569</v>
      </c>
      <c r="U9" s="432">
        <f>(5/21)*100</f>
        <v>23.809523809523807</v>
      </c>
      <c r="V9" s="430"/>
    </row>
    <row r="10" spans="1:22" x14ac:dyDescent="0.2">
      <c r="A10" s="189" t="s">
        <v>6</v>
      </c>
      <c r="B10" s="203" t="s">
        <v>13</v>
      </c>
      <c r="C10" s="190" t="s">
        <v>48</v>
      </c>
      <c r="D10" s="191">
        <v>40</v>
      </c>
      <c r="E10" s="192">
        <v>20400</v>
      </c>
      <c r="F10" s="181">
        <v>926</v>
      </c>
      <c r="G10" s="201">
        <v>7</v>
      </c>
      <c r="H10" s="425"/>
      <c r="I10" s="221">
        <v>3.9309084298112151</v>
      </c>
      <c r="J10" s="221">
        <v>4.7744181000186598</v>
      </c>
      <c r="K10" s="221">
        <v>5.8722784234196421</v>
      </c>
      <c r="L10" s="221">
        <v>5.064944922628551</v>
      </c>
      <c r="M10" s="221">
        <v>4.1790344136409949</v>
      </c>
      <c r="N10" s="221">
        <v>3.8614913070449775</v>
      </c>
      <c r="O10" s="221">
        <v>4.6671064653927683</v>
      </c>
      <c r="P10" s="253">
        <v>4.6214550000000001</v>
      </c>
      <c r="Q10" s="459"/>
      <c r="R10" s="457"/>
      <c r="S10" s="360"/>
      <c r="T10" s="124">
        <f>(2/7)*100</f>
        <v>28.571428571428569</v>
      </c>
      <c r="U10" s="433"/>
      <c r="V10" s="430"/>
    </row>
    <row r="11" spans="1:22" x14ac:dyDescent="0.2">
      <c r="A11" s="194" t="s">
        <v>6</v>
      </c>
      <c r="B11" s="204" t="s">
        <v>13</v>
      </c>
      <c r="C11" s="195" t="s">
        <v>48</v>
      </c>
      <c r="D11" s="196">
        <v>40</v>
      </c>
      <c r="E11" s="197">
        <v>30400</v>
      </c>
      <c r="F11" s="198">
        <v>3704</v>
      </c>
      <c r="G11" s="199">
        <v>13</v>
      </c>
      <c r="H11" s="426"/>
      <c r="I11" s="221">
        <v>4.508595513153816</v>
      </c>
      <c r="J11" s="221">
        <v>4.1143115254915932</v>
      </c>
      <c r="K11" s="221">
        <v>6.1249699447856303</v>
      </c>
      <c r="L11" s="221">
        <v>2.8744725672970368</v>
      </c>
      <c r="M11" s="221">
        <v>3.3216865494794896</v>
      </c>
      <c r="N11" s="221">
        <v>4.2096070342188625</v>
      </c>
      <c r="O11" s="221">
        <v>3.8515700310106413</v>
      </c>
      <c r="P11" s="253">
        <v>4.1436019999999996</v>
      </c>
      <c r="Q11" s="459"/>
      <c r="R11" s="457"/>
      <c r="S11" s="361"/>
      <c r="T11" s="124">
        <f t="shared" ref="T11:T17" si="0">(1/7)*100</f>
        <v>14.285714285714285</v>
      </c>
      <c r="U11" s="434"/>
      <c r="V11" s="431"/>
    </row>
    <row r="12" spans="1:22" x14ac:dyDescent="0.2">
      <c r="A12" s="183" t="s">
        <v>6</v>
      </c>
      <c r="B12" s="205" t="s">
        <v>50</v>
      </c>
      <c r="C12" s="205" t="s">
        <v>51</v>
      </c>
      <c r="D12" s="185">
        <v>53</v>
      </c>
      <c r="E12" s="186">
        <v>10530</v>
      </c>
      <c r="F12" s="187">
        <v>500</v>
      </c>
      <c r="G12" s="200">
        <v>6.5</v>
      </c>
      <c r="H12" s="424" t="s">
        <v>83</v>
      </c>
      <c r="I12" s="221">
        <v>2.6992474995571909</v>
      </c>
      <c r="J12" s="221">
        <v>5.97970134823316</v>
      </c>
      <c r="K12" s="221">
        <v>4.6112876657727799</v>
      </c>
      <c r="L12" s="221">
        <v>4.1067283311792258</v>
      </c>
      <c r="M12" s="221">
        <v>3.8700545116459528</v>
      </c>
      <c r="N12" s="221">
        <v>3.8917888216273009</v>
      </c>
      <c r="O12" s="221">
        <v>3.8417107040046883</v>
      </c>
      <c r="P12" s="253">
        <v>4.1429309999999999</v>
      </c>
      <c r="Q12" s="458">
        <v>4.1902980000000003</v>
      </c>
      <c r="R12" s="456">
        <v>4.1995909999999999</v>
      </c>
      <c r="S12" s="359">
        <v>5</v>
      </c>
      <c r="T12" s="124">
        <f t="shared" si="0"/>
        <v>14.285714285714285</v>
      </c>
      <c r="U12" s="432">
        <f>(3/21)*100</f>
        <v>14.285714285714285</v>
      </c>
      <c r="V12" s="429">
        <f>(6/42)*100</f>
        <v>14.285714285714285</v>
      </c>
    </row>
    <row r="13" spans="1:22" x14ac:dyDescent="0.2">
      <c r="A13" s="189" t="s">
        <v>6</v>
      </c>
      <c r="B13" s="206" t="s">
        <v>50</v>
      </c>
      <c r="C13" s="206" t="s">
        <v>51</v>
      </c>
      <c r="D13" s="191">
        <v>53</v>
      </c>
      <c r="E13" s="192">
        <v>20530</v>
      </c>
      <c r="F13" s="181">
        <v>926</v>
      </c>
      <c r="G13" s="201">
        <v>7</v>
      </c>
      <c r="H13" s="425"/>
      <c r="I13" s="221">
        <v>2.8186339692580007</v>
      </c>
      <c r="J13" s="221">
        <v>6.110470234174838</v>
      </c>
      <c r="K13" s="221">
        <v>4.8181725716798383</v>
      </c>
      <c r="L13" s="221">
        <v>4.2688132078441736</v>
      </c>
      <c r="M13" s="221">
        <v>3.9063086366623896</v>
      </c>
      <c r="N13" s="221">
        <v>3.8968105258526142</v>
      </c>
      <c r="O13" s="221">
        <v>4.1960449907077271</v>
      </c>
      <c r="P13" s="253">
        <v>4.2878930000000004</v>
      </c>
      <c r="Q13" s="459"/>
      <c r="R13" s="457"/>
      <c r="S13" s="360"/>
      <c r="T13" s="124">
        <f t="shared" si="0"/>
        <v>14.285714285714285</v>
      </c>
      <c r="U13" s="433"/>
      <c r="V13" s="430"/>
    </row>
    <row r="14" spans="1:22" x14ac:dyDescent="0.2">
      <c r="A14" s="194" t="s">
        <v>6</v>
      </c>
      <c r="B14" s="207" t="s">
        <v>50</v>
      </c>
      <c r="C14" s="207" t="s">
        <v>51</v>
      </c>
      <c r="D14" s="196">
        <v>53</v>
      </c>
      <c r="E14" s="197">
        <v>30530</v>
      </c>
      <c r="F14" s="198">
        <v>3704</v>
      </c>
      <c r="G14" s="199">
        <v>14</v>
      </c>
      <c r="H14" s="425"/>
      <c r="I14" s="221">
        <v>3.1495051265113712</v>
      </c>
      <c r="J14" s="221">
        <v>5.4267614685127086</v>
      </c>
      <c r="K14" s="221">
        <v>4.5226147719695815</v>
      </c>
      <c r="L14" s="221">
        <v>4.3071198478102097</v>
      </c>
      <c r="M14" s="221">
        <v>3.7940600725113578</v>
      </c>
      <c r="N14" s="221">
        <v>3.8060999919862715</v>
      </c>
      <c r="O14" s="221">
        <v>3.97432672494201</v>
      </c>
      <c r="P14" s="253">
        <v>4.1400690000000004</v>
      </c>
      <c r="Q14" s="459"/>
      <c r="R14" s="457"/>
      <c r="S14" s="360"/>
      <c r="T14" s="124">
        <f t="shared" si="0"/>
        <v>14.285714285714285</v>
      </c>
      <c r="U14" s="434"/>
      <c r="V14" s="430"/>
    </row>
    <row r="15" spans="1:22" x14ac:dyDescent="0.2">
      <c r="A15" s="183" t="s">
        <v>6</v>
      </c>
      <c r="B15" s="205" t="s">
        <v>49</v>
      </c>
      <c r="C15" s="205" t="s">
        <v>52</v>
      </c>
      <c r="D15" s="185">
        <v>56</v>
      </c>
      <c r="E15" s="186">
        <v>10560</v>
      </c>
      <c r="F15" s="187">
        <v>500</v>
      </c>
      <c r="G15" s="200">
        <v>3.5</v>
      </c>
      <c r="H15" s="425"/>
      <c r="I15" s="221">
        <v>3.231356880672831</v>
      </c>
      <c r="J15" s="256">
        <v>5.2313497959914699</v>
      </c>
      <c r="K15" s="221">
        <v>4.2575542213397375</v>
      </c>
      <c r="L15" s="221">
        <v>4.4820812206759371</v>
      </c>
      <c r="M15" s="221">
        <v>4.2643444140847464</v>
      </c>
      <c r="N15" s="221">
        <v>4.2827667970839549</v>
      </c>
      <c r="O15" s="221">
        <v>3.8452150380331513</v>
      </c>
      <c r="P15" s="253">
        <v>4.2278099999999998</v>
      </c>
      <c r="Q15" s="458">
        <v>4.2375379999999998</v>
      </c>
      <c r="R15" s="457"/>
      <c r="S15" s="360"/>
      <c r="T15" s="124">
        <f t="shared" si="0"/>
        <v>14.285714285714285</v>
      </c>
      <c r="U15" s="432">
        <f>(3/21)*100</f>
        <v>14.285714285714285</v>
      </c>
      <c r="V15" s="430"/>
    </row>
    <row r="16" spans="1:22" x14ac:dyDescent="0.2">
      <c r="A16" s="189" t="s">
        <v>6</v>
      </c>
      <c r="B16" s="206" t="s">
        <v>49</v>
      </c>
      <c r="C16" s="206" t="s">
        <v>52</v>
      </c>
      <c r="D16" s="191">
        <v>56</v>
      </c>
      <c r="E16" s="181">
        <v>20560</v>
      </c>
      <c r="F16" s="181">
        <v>926</v>
      </c>
      <c r="G16" s="201">
        <v>5</v>
      </c>
      <c r="H16" s="425"/>
      <c r="I16" s="221">
        <v>3.4913525367675056</v>
      </c>
      <c r="J16" s="221">
        <v>5.5946572354442328</v>
      </c>
      <c r="K16" s="221">
        <v>4.8457069032439666</v>
      </c>
      <c r="L16" s="221">
        <v>4.0010404436969793</v>
      </c>
      <c r="M16" s="221">
        <v>4.3158447220188947</v>
      </c>
      <c r="N16" s="221">
        <v>4.2118506870522374</v>
      </c>
      <c r="O16" s="221">
        <v>3.9291672737099237</v>
      </c>
      <c r="P16" s="253">
        <v>4.3413740000000001</v>
      </c>
      <c r="Q16" s="459"/>
      <c r="R16" s="457"/>
      <c r="S16" s="360"/>
      <c r="T16" s="124">
        <f t="shared" si="0"/>
        <v>14.285714285714285</v>
      </c>
      <c r="U16" s="433"/>
      <c r="V16" s="430"/>
    </row>
    <row r="17" spans="1:22" x14ac:dyDescent="0.2">
      <c r="A17" s="194" t="s">
        <v>6</v>
      </c>
      <c r="B17" s="207" t="s">
        <v>49</v>
      </c>
      <c r="C17" s="207" t="s">
        <v>52</v>
      </c>
      <c r="D17" s="196">
        <v>56</v>
      </c>
      <c r="E17" s="198">
        <v>30560</v>
      </c>
      <c r="F17" s="198">
        <v>3704</v>
      </c>
      <c r="G17" s="199">
        <v>16</v>
      </c>
      <c r="H17" s="426"/>
      <c r="I17" s="221">
        <v>2.9745796683662897</v>
      </c>
      <c r="J17" s="221">
        <v>5.1708594457932957</v>
      </c>
      <c r="K17" s="221">
        <v>4.7336970141721668</v>
      </c>
      <c r="L17" s="221">
        <v>3.5155673808115013</v>
      </c>
      <c r="M17" s="221">
        <v>4.0388728520530472</v>
      </c>
      <c r="N17" s="221">
        <v>4.3137196467417001</v>
      </c>
      <c r="O17" s="221">
        <v>3.6549661203614634</v>
      </c>
      <c r="P17" s="253">
        <v>4.0574659999999998</v>
      </c>
      <c r="Q17" s="459"/>
      <c r="R17" s="457"/>
      <c r="S17" s="361"/>
      <c r="T17" s="124">
        <f t="shared" si="0"/>
        <v>14.285714285714285</v>
      </c>
      <c r="U17" s="434"/>
      <c r="V17" s="431"/>
    </row>
    <row r="18" spans="1:22" x14ac:dyDescent="0.2">
      <c r="A18" s="183" t="s">
        <v>6</v>
      </c>
      <c r="B18" s="205" t="s">
        <v>16</v>
      </c>
      <c r="C18" s="205" t="s">
        <v>53</v>
      </c>
      <c r="D18" s="185">
        <v>64</v>
      </c>
      <c r="E18" s="187">
        <v>10640</v>
      </c>
      <c r="F18" s="187">
        <v>500</v>
      </c>
      <c r="G18" s="200">
        <v>6</v>
      </c>
      <c r="H18" s="424" t="s">
        <v>88</v>
      </c>
      <c r="I18" s="221">
        <v>4.9255553396806411</v>
      </c>
      <c r="J18" s="221">
        <v>6.0589703537945212</v>
      </c>
      <c r="K18" s="221">
        <v>6.1333732828149152</v>
      </c>
      <c r="L18" s="221">
        <v>5.8155482232248978</v>
      </c>
      <c r="M18" s="221">
        <v>6.1900571442653174</v>
      </c>
      <c r="N18" s="221">
        <v>5.2430153475875283</v>
      </c>
      <c r="O18" s="221">
        <v>4.1843698632080395</v>
      </c>
      <c r="P18" s="254">
        <v>5.5072700000000001</v>
      </c>
      <c r="Q18" s="460">
        <v>5.378285</v>
      </c>
      <c r="R18" s="462">
        <v>5.2718420000000004</v>
      </c>
      <c r="S18" s="359">
        <v>5</v>
      </c>
      <c r="T18" s="124">
        <f>(5/7)*100</f>
        <v>71.428571428571431</v>
      </c>
      <c r="U18" s="432">
        <f>(13/21)*100</f>
        <v>61.904761904761905</v>
      </c>
      <c r="V18" s="429">
        <f>(26/42)*100</f>
        <v>61.904761904761905</v>
      </c>
    </row>
    <row r="19" spans="1:22" x14ac:dyDescent="0.2">
      <c r="A19" s="189" t="s">
        <v>6</v>
      </c>
      <c r="B19" s="206" t="s">
        <v>16</v>
      </c>
      <c r="C19" s="206" t="s">
        <v>53</v>
      </c>
      <c r="D19" s="191">
        <v>64</v>
      </c>
      <c r="E19" s="181">
        <v>20640</v>
      </c>
      <c r="F19" s="181">
        <v>926</v>
      </c>
      <c r="G19" s="201">
        <v>10</v>
      </c>
      <c r="H19" s="425"/>
      <c r="I19" s="221">
        <v>4.9121382091298234</v>
      </c>
      <c r="J19" s="221">
        <v>5.8811449026950786</v>
      </c>
      <c r="K19" s="221">
        <v>5.8568723841918908</v>
      </c>
      <c r="L19" s="221">
        <v>5.0352382212107365</v>
      </c>
      <c r="M19" s="221">
        <v>6.3623894797638139</v>
      </c>
      <c r="N19" s="221">
        <v>4.8469593426130437</v>
      </c>
      <c r="O19" s="221">
        <v>4.473306052026703</v>
      </c>
      <c r="P19" s="254">
        <v>5.3382930000000002</v>
      </c>
      <c r="Q19" s="461"/>
      <c r="R19" s="463"/>
      <c r="S19" s="360"/>
      <c r="T19" s="124">
        <f>(4/7)*100</f>
        <v>57.142857142857139</v>
      </c>
      <c r="U19" s="433"/>
      <c r="V19" s="430"/>
    </row>
    <row r="20" spans="1:22" x14ac:dyDescent="0.2">
      <c r="A20" s="194" t="s">
        <v>6</v>
      </c>
      <c r="B20" s="207" t="s">
        <v>16</v>
      </c>
      <c r="C20" s="207" t="s">
        <v>53</v>
      </c>
      <c r="D20" s="196">
        <v>64</v>
      </c>
      <c r="E20" s="198">
        <v>30640</v>
      </c>
      <c r="F20" s="198">
        <v>3704</v>
      </c>
      <c r="G20" s="199">
        <v>19</v>
      </c>
      <c r="H20" s="425"/>
      <c r="I20" s="221">
        <v>4.0730345733244802</v>
      </c>
      <c r="J20" s="221">
        <v>5.9483286399079667</v>
      </c>
      <c r="K20" s="221">
        <v>5.7978410881483802</v>
      </c>
      <c r="L20" s="221">
        <v>5.2669900405673404</v>
      </c>
      <c r="M20" s="221">
        <v>6.4742674244530658</v>
      </c>
      <c r="N20" s="221">
        <v>4.5111173135799039</v>
      </c>
      <c r="O20" s="221">
        <v>4.9534639654945964</v>
      </c>
      <c r="P20" s="254">
        <v>5.2892919999999997</v>
      </c>
      <c r="Q20" s="461"/>
      <c r="R20" s="463"/>
      <c r="S20" s="360"/>
      <c r="T20" s="124">
        <f>(4/7)*100</f>
        <v>57.142857142857139</v>
      </c>
      <c r="U20" s="434"/>
      <c r="V20" s="430"/>
    </row>
    <row r="21" spans="1:22" x14ac:dyDescent="0.2">
      <c r="A21" s="183" t="s">
        <v>19</v>
      </c>
      <c r="B21" s="205" t="s">
        <v>20</v>
      </c>
      <c r="C21" s="205" t="s">
        <v>54</v>
      </c>
      <c r="D21" s="185">
        <v>72</v>
      </c>
      <c r="E21" s="187">
        <v>10720</v>
      </c>
      <c r="F21" s="187">
        <v>500</v>
      </c>
      <c r="G21" s="200">
        <v>3</v>
      </c>
      <c r="H21" s="425"/>
      <c r="I21" s="221">
        <v>5.7454584275298268</v>
      </c>
      <c r="J21" s="221">
        <v>4.4008128177313246</v>
      </c>
      <c r="K21" s="221">
        <v>5.7286893100867475</v>
      </c>
      <c r="L21" s="221">
        <v>4.3154534549588641</v>
      </c>
      <c r="M21" s="221">
        <v>6.4262105517469728</v>
      </c>
      <c r="N21" s="221">
        <v>5.4101283351651226</v>
      </c>
      <c r="O21" s="221">
        <v>4.1818299444558562</v>
      </c>
      <c r="P21" s="254">
        <v>5.1726549999999998</v>
      </c>
      <c r="Q21" s="460">
        <v>5.1653989999999999</v>
      </c>
      <c r="R21" s="463"/>
      <c r="S21" s="360"/>
      <c r="T21" s="124">
        <f>(4/7)*100</f>
        <v>57.142857142857139</v>
      </c>
      <c r="U21" s="432">
        <f>(13/21)*100</f>
        <v>61.904761904761905</v>
      </c>
      <c r="V21" s="430"/>
    </row>
    <row r="22" spans="1:22" x14ac:dyDescent="0.2">
      <c r="A22" s="189" t="s">
        <v>19</v>
      </c>
      <c r="B22" s="206" t="s">
        <v>20</v>
      </c>
      <c r="C22" s="206" t="s">
        <v>54</v>
      </c>
      <c r="D22" s="191">
        <v>72</v>
      </c>
      <c r="E22" s="181">
        <v>20720</v>
      </c>
      <c r="F22" s="181">
        <v>926</v>
      </c>
      <c r="G22" s="201">
        <v>6</v>
      </c>
      <c r="H22" s="425"/>
      <c r="I22" s="221">
        <v>5.3115119530216504</v>
      </c>
      <c r="J22" s="221">
        <v>5.107091018117651</v>
      </c>
      <c r="K22" s="221">
        <v>6.1056396596593361</v>
      </c>
      <c r="L22" s="221">
        <v>4.4966761243243214</v>
      </c>
      <c r="M22" s="221">
        <v>5.4754463697859697</v>
      </c>
      <c r="N22" s="221">
        <v>5.508808488838727</v>
      </c>
      <c r="O22" s="221">
        <v>4.4676352961794414</v>
      </c>
      <c r="P22" s="254">
        <v>5.2104010000000001</v>
      </c>
      <c r="Q22" s="461"/>
      <c r="R22" s="463"/>
      <c r="S22" s="360"/>
      <c r="T22" s="124">
        <f>(5/7)*100</f>
        <v>71.428571428571431</v>
      </c>
      <c r="U22" s="433"/>
      <c r="V22" s="430"/>
    </row>
    <row r="23" spans="1:22" x14ac:dyDescent="0.2">
      <c r="A23" s="194" t="s">
        <v>19</v>
      </c>
      <c r="B23" s="207" t="s">
        <v>20</v>
      </c>
      <c r="C23" s="207" t="s">
        <v>54</v>
      </c>
      <c r="D23" s="196">
        <v>72</v>
      </c>
      <c r="E23" s="198">
        <v>30720</v>
      </c>
      <c r="F23" s="198">
        <v>3704</v>
      </c>
      <c r="G23" s="199">
        <v>14</v>
      </c>
      <c r="H23" s="426"/>
      <c r="I23" s="221">
        <v>5.6415556186436628</v>
      </c>
      <c r="J23" s="221">
        <v>5.4312671983491692</v>
      </c>
      <c r="K23" s="221">
        <v>6.0113659603332428</v>
      </c>
      <c r="L23" s="221">
        <v>3.8910564907762333</v>
      </c>
      <c r="M23" s="221">
        <v>4.7830513920460591</v>
      </c>
      <c r="N23" s="221">
        <v>5.8115458664514588</v>
      </c>
      <c r="O23" s="221">
        <v>4.2221372705711602</v>
      </c>
      <c r="P23" s="254">
        <v>5.1131399999999996</v>
      </c>
      <c r="Q23" s="461"/>
      <c r="R23" s="463"/>
      <c r="S23" s="361"/>
      <c r="T23" s="124">
        <f>(4/7)*100</f>
        <v>57.142857142857139</v>
      </c>
      <c r="U23" s="434"/>
      <c r="V23" s="431"/>
    </row>
    <row r="24" spans="1:22" x14ac:dyDescent="0.2">
      <c r="A24" s="183" t="s">
        <v>19</v>
      </c>
      <c r="B24" s="208" t="s">
        <v>24</v>
      </c>
      <c r="C24" s="208" t="s">
        <v>25</v>
      </c>
      <c r="D24" s="185">
        <v>601</v>
      </c>
      <c r="E24" s="209">
        <v>16010</v>
      </c>
      <c r="F24" s="187">
        <v>500</v>
      </c>
      <c r="G24" s="200">
        <v>6</v>
      </c>
      <c r="H24" s="424" t="s">
        <v>84</v>
      </c>
      <c r="I24" s="230">
        <v>5.4320764643455188</v>
      </c>
      <c r="J24" s="230">
        <v>7.2316343828679619</v>
      </c>
      <c r="K24" s="230">
        <v>6.0578366235677414</v>
      </c>
      <c r="L24" s="230">
        <v>4.2429454524558272</v>
      </c>
      <c r="M24" s="230">
        <v>5.1391470823706049</v>
      </c>
      <c r="N24" s="230">
        <v>5.8763871837728221</v>
      </c>
      <c r="O24" s="230">
        <v>5.2056900468146319</v>
      </c>
      <c r="P24" s="254">
        <v>5.5979599999999996</v>
      </c>
      <c r="Q24" s="460">
        <v>5.3486909999999996</v>
      </c>
      <c r="R24" s="462">
        <v>5.5322019999999998</v>
      </c>
      <c r="S24" s="359">
        <v>5</v>
      </c>
      <c r="T24" s="124">
        <f>(6/7)*100</f>
        <v>85.714285714285708</v>
      </c>
      <c r="U24" s="432">
        <f>(16/21)*100</f>
        <v>76.19047619047619</v>
      </c>
      <c r="V24" s="429">
        <f>(32/42)*100</f>
        <v>76.19047619047619</v>
      </c>
    </row>
    <row r="25" spans="1:22" x14ac:dyDescent="0.2">
      <c r="A25" s="189" t="s">
        <v>19</v>
      </c>
      <c r="B25" s="182" t="s">
        <v>24</v>
      </c>
      <c r="C25" s="182" t="s">
        <v>25</v>
      </c>
      <c r="D25" s="191">
        <v>601</v>
      </c>
      <c r="E25" s="210">
        <v>26010</v>
      </c>
      <c r="F25" s="181">
        <v>926</v>
      </c>
      <c r="G25" s="201">
        <v>16</v>
      </c>
      <c r="H25" s="425"/>
      <c r="I25" s="230">
        <v>5.3581626852197353</v>
      </c>
      <c r="J25" s="230">
        <v>6.7270103553003127</v>
      </c>
      <c r="K25" s="230">
        <v>5.9098848537964077</v>
      </c>
      <c r="L25" s="230">
        <v>4.5573783381902029</v>
      </c>
      <c r="M25" s="230">
        <v>5.8625379960095945</v>
      </c>
      <c r="N25" s="230">
        <v>5.8453748035004169</v>
      </c>
      <c r="O25" s="230">
        <v>5.0161392942951357</v>
      </c>
      <c r="P25" s="254">
        <v>5.6109270000000002</v>
      </c>
      <c r="Q25" s="461"/>
      <c r="R25" s="463"/>
      <c r="S25" s="360"/>
      <c r="T25" s="124">
        <f>(6/7)*100</f>
        <v>85.714285714285708</v>
      </c>
      <c r="U25" s="433"/>
      <c r="V25" s="430"/>
    </row>
    <row r="26" spans="1:22" x14ac:dyDescent="0.2">
      <c r="A26" s="194" t="s">
        <v>19</v>
      </c>
      <c r="B26" s="211" t="s">
        <v>24</v>
      </c>
      <c r="C26" s="211" t="s">
        <v>25</v>
      </c>
      <c r="D26" s="196">
        <v>601</v>
      </c>
      <c r="E26" s="212">
        <v>36010</v>
      </c>
      <c r="F26" s="198">
        <v>3704</v>
      </c>
      <c r="G26" s="199">
        <v>27</v>
      </c>
      <c r="H26" s="425"/>
      <c r="I26" s="230">
        <v>3.5512380194140913</v>
      </c>
      <c r="J26" s="230">
        <v>6.4911541465944769</v>
      </c>
      <c r="K26" s="230">
        <v>5.899263150560083</v>
      </c>
      <c r="L26" s="230">
        <v>3.4872618062410528</v>
      </c>
      <c r="M26" s="230">
        <v>5.2748683292745699</v>
      </c>
      <c r="N26" s="230">
        <v>5.1813831090254254</v>
      </c>
      <c r="O26" s="230">
        <v>3.9751435227922158</v>
      </c>
      <c r="P26" s="253">
        <v>4.8371870000000001</v>
      </c>
      <c r="Q26" s="461"/>
      <c r="R26" s="463"/>
      <c r="S26" s="360"/>
      <c r="T26" s="124">
        <f>(4/7)*100</f>
        <v>57.142857142857139</v>
      </c>
      <c r="U26" s="434"/>
      <c r="V26" s="430"/>
    </row>
    <row r="27" spans="1:22" x14ac:dyDescent="0.2">
      <c r="A27" s="213" t="s">
        <v>19</v>
      </c>
      <c r="B27" s="208" t="s">
        <v>24</v>
      </c>
      <c r="C27" s="208" t="s">
        <v>78</v>
      </c>
      <c r="D27" s="185">
        <v>82</v>
      </c>
      <c r="E27" s="187">
        <v>10820</v>
      </c>
      <c r="F27" s="187">
        <v>500</v>
      </c>
      <c r="G27" s="200">
        <v>5</v>
      </c>
      <c r="H27" s="425"/>
      <c r="I27" s="230">
        <v>5.2916895610913341</v>
      </c>
      <c r="J27" s="230">
        <v>6.1995423141080721</v>
      </c>
      <c r="K27" s="230">
        <v>5.6611437079028866</v>
      </c>
      <c r="L27" s="230">
        <v>5.6781771288388967</v>
      </c>
      <c r="M27" s="230">
        <v>6.8608519696785359</v>
      </c>
      <c r="N27" s="230">
        <v>5.8362580861132258</v>
      </c>
      <c r="O27" s="230">
        <v>4.6689595761469267</v>
      </c>
      <c r="P27" s="254">
        <v>5.7423739999999999</v>
      </c>
      <c r="Q27" s="460">
        <v>5.715713</v>
      </c>
      <c r="R27" s="463"/>
      <c r="S27" s="360"/>
      <c r="T27" s="124">
        <f>(6/7)*100</f>
        <v>85.714285714285708</v>
      </c>
      <c r="U27" s="432">
        <f>(16/21)*100</f>
        <v>76.19047619047619</v>
      </c>
      <c r="V27" s="430"/>
    </row>
    <row r="28" spans="1:22" x14ac:dyDescent="0.2">
      <c r="A28" s="214" t="s">
        <v>19</v>
      </c>
      <c r="B28" s="182" t="s">
        <v>24</v>
      </c>
      <c r="C28" s="182" t="s">
        <v>78</v>
      </c>
      <c r="D28" s="191">
        <v>82</v>
      </c>
      <c r="E28" s="181">
        <v>20820</v>
      </c>
      <c r="F28" s="181">
        <v>926</v>
      </c>
      <c r="G28" s="201">
        <v>7</v>
      </c>
      <c r="H28" s="425"/>
      <c r="I28" s="230">
        <v>4.9850495334307636</v>
      </c>
      <c r="J28" s="230">
        <v>6.3808344336774976</v>
      </c>
      <c r="K28" s="230">
        <v>6.310030486049425</v>
      </c>
      <c r="L28" s="230">
        <v>5.6714417872413847</v>
      </c>
      <c r="M28" s="230">
        <v>6.5285787798949304</v>
      </c>
      <c r="N28" s="230">
        <v>5.5081618685199363</v>
      </c>
      <c r="O28" s="230">
        <v>4.6726743931586352</v>
      </c>
      <c r="P28" s="254">
        <v>5.7223959999999998</v>
      </c>
      <c r="Q28" s="461"/>
      <c r="R28" s="463"/>
      <c r="S28" s="360"/>
      <c r="T28" s="124">
        <f>(5/7)*100</f>
        <v>71.428571428571431</v>
      </c>
      <c r="U28" s="433"/>
      <c r="V28" s="430"/>
    </row>
    <row r="29" spans="1:22" x14ac:dyDescent="0.2">
      <c r="A29" s="215" t="s">
        <v>19</v>
      </c>
      <c r="B29" s="211" t="s">
        <v>24</v>
      </c>
      <c r="C29" s="211" t="s">
        <v>78</v>
      </c>
      <c r="D29" s="196">
        <v>82</v>
      </c>
      <c r="E29" s="198">
        <v>30820</v>
      </c>
      <c r="F29" s="198">
        <v>3704</v>
      </c>
      <c r="G29" s="199">
        <v>15</v>
      </c>
      <c r="H29" s="426"/>
      <c r="I29" s="230">
        <v>4.9638245793639442</v>
      </c>
      <c r="J29" s="230">
        <v>6.7147085632100403</v>
      </c>
      <c r="K29" s="230">
        <v>6.376208369204738</v>
      </c>
      <c r="L29" s="230">
        <v>5.5745726989484865</v>
      </c>
      <c r="M29" s="230">
        <v>6.1648587381992073</v>
      </c>
      <c r="N29" s="230">
        <v>5.0719977076083236</v>
      </c>
      <c r="O29" s="230">
        <v>4.910406218440956</v>
      </c>
      <c r="P29" s="254">
        <v>5.6823680000000003</v>
      </c>
      <c r="Q29" s="461"/>
      <c r="R29" s="463"/>
      <c r="S29" s="361"/>
      <c r="T29" s="124">
        <f>(5/7)*100</f>
        <v>71.428571428571431</v>
      </c>
      <c r="U29" s="434"/>
      <c r="V29" s="431"/>
    </row>
    <row r="30" spans="1:22" x14ac:dyDescent="0.2">
      <c r="A30" s="216" t="s">
        <v>6</v>
      </c>
      <c r="B30" s="161" t="s">
        <v>50</v>
      </c>
      <c r="C30" s="161" t="s">
        <v>106</v>
      </c>
      <c r="D30" s="241">
        <v>53</v>
      </c>
      <c r="E30" s="158">
        <v>40530</v>
      </c>
      <c r="F30" s="218">
        <v>8334</v>
      </c>
      <c r="G30" s="219">
        <v>18</v>
      </c>
      <c r="H30" s="222" t="s">
        <v>104</v>
      </c>
      <c r="I30" s="221">
        <v>2.3846323776264899</v>
      </c>
      <c r="J30" s="221">
        <v>5.454138304858744</v>
      </c>
      <c r="K30" s="221">
        <v>4.2593119437087097</v>
      </c>
      <c r="L30" s="221">
        <v>4.1703228153293992</v>
      </c>
      <c r="M30" s="221">
        <v>3.4443892054251721</v>
      </c>
      <c r="N30" s="221">
        <v>4.2253270355657593</v>
      </c>
      <c r="O30" s="221">
        <v>3.5717207248168346</v>
      </c>
      <c r="P30" s="252">
        <v>3.9299770000000001</v>
      </c>
      <c r="Q30" s="318">
        <v>3.9299770000000001</v>
      </c>
      <c r="R30" s="319">
        <v>3.9299770000000001</v>
      </c>
      <c r="S30" s="321">
        <v>4.5</v>
      </c>
      <c r="T30" s="124">
        <f>(1/7)*100</f>
        <v>14.285714285714285</v>
      </c>
      <c r="U30" s="124">
        <f>(1/7)*100</f>
        <v>14.285714285714285</v>
      </c>
      <c r="V30" s="145">
        <f>(1/7)*100</f>
        <v>14.285714285714285</v>
      </c>
    </row>
    <row r="31" spans="1:22" x14ac:dyDescent="0.2">
      <c r="A31" s="216" t="s">
        <v>19</v>
      </c>
      <c r="B31" s="161" t="s">
        <v>20</v>
      </c>
      <c r="C31" s="161" t="s">
        <v>54</v>
      </c>
      <c r="D31" s="196">
        <v>72</v>
      </c>
      <c r="E31" s="218">
        <v>40720</v>
      </c>
      <c r="F31" s="218">
        <v>7233</v>
      </c>
      <c r="G31" s="219">
        <v>21</v>
      </c>
      <c r="H31" s="223" t="s">
        <v>105</v>
      </c>
      <c r="I31" s="221">
        <v>5.2945141464320846</v>
      </c>
      <c r="J31" s="221">
        <v>5.6149451427559232</v>
      </c>
      <c r="K31" s="221">
        <v>5.3974092803558733</v>
      </c>
      <c r="L31" s="221">
        <v>3.9500593376174287</v>
      </c>
      <c r="M31" s="221">
        <v>3.6695183600614074</v>
      </c>
      <c r="N31" s="221">
        <v>5.9351318477255655</v>
      </c>
      <c r="O31" s="221">
        <v>4.4348882044506412</v>
      </c>
      <c r="P31" s="253">
        <v>4.8994949999999999</v>
      </c>
      <c r="Q31" s="320">
        <v>4.8994949999999999</v>
      </c>
      <c r="R31" s="302">
        <v>4.8994949999999999</v>
      </c>
      <c r="S31" s="321">
        <v>4.5</v>
      </c>
      <c r="T31" s="124">
        <f>(4/7)*100</f>
        <v>57.142857142857139</v>
      </c>
      <c r="U31" s="124">
        <f>(4/7)*100</f>
        <v>57.142857142857139</v>
      </c>
      <c r="V31" s="145">
        <f>(4/7)*100</f>
        <v>57.142857142857139</v>
      </c>
    </row>
    <row r="33" spans="2:18" x14ac:dyDescent="0.2">
      <c r="B33" s="220"/>
      <c r="D33" s="191"/>
      <c r="K33" s="134"/>
      <c r="M33" s="134"/>
    </row>
    <row r="34" spans="2:18" x14ac:dyDescent="0.2">
      <c r="B34" s="220"/>
      <c r="D34" s="191"/>
      <c r="Q34" s="224"/>
      <c r="R34" s="224"/>
    </row>
    <row r="35" spans="2:18" x14ac:dyDescent="0.2">
      <c r="B35" s="220"/>
      <c r="D35" s="191"/>
      <c r="Q35" s="224"/>
      <c r="R35" s="224"/>
    </row>
    <row r="36" spans="2:18" x14ac:dyDescent="0.2">
      <c r="B36" s="220"/>
      <c r="D36" s="191"/>
      <c r="P36" s="224"/>
      <c r="Q36" s="224"/>
      <c r="R36" s="224"/>
    </row>
    <row r="37" spans="2:18" x14ac:dyDescent="0.2">
      <c r="B37" s="220"/>
      <c r="D37" s="191"/>
      <c r="P37" s="224"/>
      <c r="Q37" s="224"/>
      <c r="R37" s="224"/>
    </row>
    <row r="38" spans="2:18" x14ac:dyDescent="0.2">
      <c r="B38" s="220"/>
      <c r="D38" s="191"/>
      <c r="Q38" s="224"/>
      <c r="R38" s="224"/>
    </row>
    <row r="39" spans="2:18" x14ac:dyDescent="0.2">
      <c r="Q39" s="224"/>
      <c r="R39" s="224"/>
    </row>
    <row r="40" spans="2:18" x14ac:dyDescent="0.2">
      <c r="Q40" s="224"/>
      <c r="R40" s="224"/>
    </row>
    <row r="41" spans="2:18" x14ac:dyDescent="0.2">
      <c r="Q41" s="224"/>
      <c r="R41" s="224"/>
    </row>
    <row r="42" spans="2:18" x14ac:dyDescent="0.2">
      <c r="Q42" s="224"/>
      <c r="R42" s="224"/>
    </row>
    <row r="43" spans="2:18" x14ac:dyDescent="0.2">
      <c r="Q43" s="224"/>
      <c r="R43" s="224"/>
    </row>
    <row r="44" spans="2:18" x14ac:dyDescent="0.2">
      <c r="P44" s="224"/>
    </row>
    <row r="45" spans="2:18" x14ac:dyDescent="0.2">
      <c r="P45" s="224"/>
    </row>
    <row r="46" spans="2:18" x14ac:dyDescent="0.2">
      <c r="P46" s="224"/>
    </row>
    <row r="47" spans="2:18" x14ac:dyDescent="0.2">
      <c r="P47" s="224"/>
    </row>
    <row r="48" spans="2:18" x14ac:dyDescent="0.2">
      <c r="P48" s="224"/>
    </row>
    <row r="49" spans="16:16" x14ac:dyDescent="0.2">
      <c r="P49" s="224"/>
    </row>
    <row r="50" spans="16:16" x14ac:dyDescent="0.2">
      <c r="P50" s="224"/>
    </row>
    <row r="51" spans="16:16" x14ac:dyDescent="0.2">
      <c r="P51" s="224"/>
    </row>
    <row r="52" spans="16:16" x14ac:dyDescent="0.2">
      <c r="P52" s="224"/>
    </row>
    <row r="53" spans="16:16" x14ac:dyDescent="0.2">
      <c r="P53" s="224"/>
    </row>
  </sheetData>
  <mergeCells count="36">
    <mergeCell ref="V24:V29"/>
    <mergeCell ref="Q27:Q29"/>
    <mergeCell ref="U27:U29"/>
    <mergeCell ref="U21:U23"/>
    <mergeCell ref="H24:H29"/>
    <mergeCell ref="Q24:Q26"/>
    <mergeCell ref="R24:R29"/>
    <mergeCell ref="S24:S29"/>
    <mergeCell ref="U24:U26"/>
    <mergeCell ref="V12:V17"/>
    <mergeCell ref="Q15:Q17"/>
    <mergeCell ref="U15:U17"/>
    <mergeCell ref="H18:H23"/>
    <mergeCell ref="Q18:Q20"/>
    <mergeCell ref="R18:R23"/>
    <mergeCell ref="S18:S23"/>
    <mergeCell ref="U18:U20"/>
    <mergeCell ref="V18:V23"/>
    <mergeCell ref="Q21:Q23"/>
    <mergeCell ref="H12:H17"/>
    <mergeCell ref="Q12:Q14"/>
    <mergeCell ref="R12:R17"/>
    <mergeCell ref="S12:S17"/>
    <mergeCell ref="U12:U14"/>
    <mergeCell ref="P1:R1"/>
    <mergeCell ref="S1:V1"/>
    <mergeCell ref="H3:H11"/>
    <mergeCell ref="Q3:Q5"/>
    <mergeCell ref="R3:R11"/>
    <mergeCell ref="S3:S11"/>
    <mergeCell ref="U3:U5"/>
    <mergeCell ref="V3:V11"/>
    <mergeCell ref="Q6:Q8"/>
    <mergeCell ref="U6:U8"/>
    <mergeCell ref="Q9:Q11"/>
    <mergeCell ref="U9:U11"/>
  </mergeCells>
  <pageMargins left="0.7" right="0.7" top="0.75" bottom="0.75" header="0.3" footer="0.3"/>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40"/>
  <sheetViews>
    <sheetView topLeftCell="F1" zoomScale="85" zoomScaleNormal="85" workbookViewId="0">
      <pane ySplit="2" topLeftCell="A3" activePane="bottomLeft" state="frozen"/>
      <selection activeCell="D1" sqref="D1"/>
      <selection pane="bottomLeft" activeCell="Y28" sqref="Y28"/>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customWidth="1"/>
    <col min="14" max="14" width="11" customWidth="1"/>
    <col min="15" max="15" width="10.5703125" customWidth="1"/>
    <col min="16" max="17" width="11.28515625" customWidth="1"/>
    <col min="18" max="18" width="12.28515625" customWidth="1"/>
    <col min="19" max="19" width="13.85546875" style="171" customWidth="1"/>
    <col min="20" max="21" width="13" customWidth="1"/>
    <col min="22" max="22" width="14.7109375" customWidth="1"/>
  </cols>
  <sheetData>
    <row r="1" spans="1:22" ht="51" customHeight="1" x14ac:dyDescent="0.2">
      <c r="P1" s="371" t="s">
        <v>90</v>
      </c>
      <c r="Q1" s="371"/>
      <c r="R1" s="371"/>
      <c r="S1" s="447" t="s">
        <v>94</v>
      </c>
      <c r="T1" s="448"/>
      <c r="U1" s="448"/>
      <c r="V1" s="449"/>
    </row>
    <row r="2" spans="1:22" ht="51" x14ac:dyDescent="0.2">
      <c r="A2" s="74" t="s">
        <v>0</v>
      </c>
      <c r="B2" s="75" t="s">
        <v>1</v>
      </c>
      <c r="C2" s="74" t="s">
        <v>2</v>
      </c>
      <c r="D2" s="25" t="s">
        <v>89</v>
      </c>
      <c r="E2" s="74" t="s">
        <v>81</v>
      </c>
      <c r="F2" s="74" t="s">
        <v>4</v>
      </c>
      <c r="G2" s="74" t="s">
        <v>5</v>
      </c>
      <c r="H2" s="1" t="s">
        <v>85</v>
      </c>
      <c r="I2" s="25" t="s">
        <v>133</v>
      </c>
      <c r="J2" s="25" t="s">
        <v>134</v>
      </c>
      <c r="K2" s="25" t="s">
        <v>135</v>
      </c>
      <c r="L2" s="25" t="s">
        <v>136</v>
      </c>
      <c r="M2" s="25" t="s">
        <v>137</v>
      </c>
      <c r="N2" s="25" t="s">
        <v>138</v>
      </c>
      <c r="O2" s="25" t="s">
        <v>139</v>
      </c>
      <c r="P2" s="25" t="s">
        <v>71</v>
      </c>
      <c r="Q2" s="26" t="s">
        <v>72</v>
      </c>
      <c r="R2" s="26" t="s">
        <v>80</v>
      </c>
      <c r="S2" s="26" t="s">
        <v>107</v>
      </c>
      <c r="T2" s="146" t="s">
        <v>91</v>
      </c>
      <c r="U2" s="146" t="s">
        <v>92</v>
      </c>
      <c r="V2" s="146" t="s">
        <v>93</v>
      </c>
    </row>
    <row r="3" spans="1:22" x14ac:dyDescent="0.2">
      <c r="A3" s="183" t="s">
        <v>6</v>
      </c>
      <c r="B3" s="184" t="s">
        <v>9</v>
      </c>
      <c r="C3" s="184" t="s">
        <v>46</v>
      </c>
      <c r="D3" s="185">
        <v>8</v>
      </c>
      <c r="E3" s="186">
        <v>10080</v>
      </c>
      <c r="F3" s="187">
        <v>500</v>
      </c>
      <c r="G3" s="188">
        <v>3</v>
      </c>
      <c r="H3" s="424" t="s">
        <v>82</v>
      </c>
      <c r="I3" s="258">
        <v>4.3715000000000002</v>
      </c>
      <c r="J3" s="258">
        <v>3.4144800000000002</v>
      </c>
      <c r="K3" s="258">
        <v>3.8723000000000001</v>
      </c>
      <c r="L3" s="258">
        <v>4.0803000000000003</v>
      </c>
      <c r="M3" s="258">
        <v>3.2928999999999999</v>
      </c>
      <c r="N3" s="258">
        <v>4.4053000000000004</v>
      </c>
      <c r="O3" s="258">
        <v>4.6307999999999998</v>
      </c>
      <c r="P3" s="253">
        <v>4.0096489999999996</v>
      </c>
      <c r="Q3" s="450">
        <v>3.9733269999999998</v>
      </c>
      <c r="R3" s="446">
        <v>4.2933760000000003</v>
      </c>
      <c r="S3" s="359">
        <v>5</v>
      </c>
      <c r="T3" s="124">
        <f>(0/7)*100</f>
        <v>0</v>
      </c>
      <c r="U3" s="432">
        <f>(1/21)*100</f>
        <v>4.7619047619047619</v>
      </c>
      <c r="V3" s="429">
        <f>(9/63)*100</f>
        <v>14.285714285714285</v>
      </c>
    </row>
    <row r="4" spans="1:22" x14ac:dyDescent="0.2">
      <c r="A4" s="189" t="s">
        <v>6</v>
      </c>
      <c r="B4" s="190" t="s">
        <v>9</v>
      </c>
      <c r="C4" s="190" t="s">
        <v>46</v>
      </c>
      <c r="D4" s="191">
        <v>8</v>
      </c>
      <c r="E4" s="192">
        <v>20080</v>
      </c>
      <c r="F4" s="181">
        <v>926</v>
      </c>
      <c r="G4" s="193">
        <v>6</v>
      </c>
      <c r="H4" s="425"/>
      <c r="I4" s="258">
        <v>4.2165999999999997</v>
      </c>
      <c r="J4" s="258">
        <v>2.4062000000000001</v>
      </c>
      <c r="K4" s="258">
        <v>4.3853999999999997</v>
      </c>
      <c r="L4" s="258">
        <v>4.0292000000000003</v>
      </c>
      <c r="M4" s="258">
        <v>3.214</v>
      </c>
      <c r="N4" s="258">
        <v>4.593</v>
      </c>
      <c r="O4" s="258">
        <v>5.0454999999999997</v>
      </c>
      <c r="P4" s="252">
        <v>3.9842714285714282</v>
      </c>
      <c r="Q4" s="451"/>
      <c r="R4" s="423"/>
      <c r="S4" s="360"/>
      <c r="T4" s="124">
        <f>(1/7)*100</f>
        <v>14.285714285714285</v>
      </c>
      <c r="U4" s="433"/>
      <c r="V4" s="430"/>
    </row>
    <row r="5" spans="1:22" x14ac:dyDescent="0.2">
      <c r="A5" s="194" t="s">
        <v>6</v>
      </c>
      <c r="B5" s="195" t="s">
        <v>9</v>
      </c>
      <c r="C5" s="195" t="s">
        <v>46</v>
      </c>
      <c r="D5" s="196">
        <v>8</v>
      </c>
      <c r="E5" s="197">
        <v>30080</v>
      </c>
      <c r="F5" s="198">
        <v>3704</v>
      </c>
      <c r="G5" s="199">
        <v>13</v>
      </c>
      <c r="H5" s="425"/>
      <c r="I5" s="258">
        <v>3.6393</v>
      </c>
      <c r="J5" s="258">
        <v>3.7233999999999998</v>
      </c>
      <c r="K5" s="258">
        <v>4.7991000000000001</v>
      </c>
      <c r="L5" s="258">
        <v>4.1189999999999998</v>
      </c>
      <c r="M5" s="258">
        <v>2.8384999999999998</v>
      </c>
      <c r="N5" s="258">
        <v>4.0724</v>
      </c>
      <c r="O5" s="258">
        <v>4.2907000000000002</v>
      </c>
      <c r="P5" s="252">
        <v>3.9260571428571427</v>
      </c>
      <c r="Q5" s="451"/>
      <c r="R5" s="423"/>
      <c r="S5" s="360"/>
      <c r="T5" s="124">
        <f>(0/7)*100</f>
        <v>0</v>
      </c>
      <c r="U5" s="434"/>
      <c r="V5" s="430"/>
    </row>
    <row r="6" spans="1:22" x14ac:dyDescent="0.2">
      <c r="A6" s="183" t="s">
        <v>6</v>
      </c>
      <c r="B6" s="184" t="s">
        <v>12</v>
      </c>
      <c r="C6" s="184" t="s">
        <v>47</v>
      </c>
      <c r="D6" s="185">
        <v>24</v>
      </c>
      <c r="E6" s="186">
        <v>10240</v>
      </c>
      <c r="F6" s="187">
        <v>500</v>
      </c>
      <c r="G6" s="200">
        <v>4</v>
      </c>
      <c r="H6" s="425"/>
      <c r="I6" s="258">
        <v>3.6067</v>
      </c>
      <c r="J6" s="258">
        <v>3.6640000000000001</v>
      </c>
      <c r="K6" s="258">
        <v>5.1902999999999997</v>
      </c>
      <c r="L6" s="258">
        <v>4.8190999999999997</v>
      </c>
      <c r="M6" s="258">
        <v>4.2003000000000004</v>
      </c>
      <c r="N6" s="258">
        <v>4.1238999999999999</v>
      </c>
      <c r="O6" s="258">
        <v>5.2141999999999999</v>
      </c>
      <c r="P6" s="253">
        <v>4.4026428571428564</v>
      </c>
      <c r="Q6" s="442">
        <v>4.2283095238095241</v>
      </c>
      <c r="R6" s="423"/>
      <c r="S6" s="360"/>
      <c r="T6" s="124">
        <f>(2/7)*100</f>
        <v>28.571428571428569</v>
      </c>
      <c r="U6" s="432">
        <f>(3/21)*100</f>
        <v>14.285714285714285</v>
      </c>
      <c r="V6" s="430"/>
    </row>
    <row r="7" spans="1:22" x14ac:dyDescent="0.2">
      <c r="A7" s="189" t="s">
        <v>6</v>
      </c>
      <c r="B7" s="190" t="s">
        <v>12</v>
      </c>
      <c r="C7" s="190" t="s">
        <v>47</v>
      </c>
      <c r="D7" s="191">
        <v>24</v>
      </c>
      <c r="E7" s="192">
        <v>20240</v>
      </c>
      <c r="F7" s="181">
        <v>926</v>
      </c>
      <c r="G7" s="201">
        <v>7</v>
      </c>
      <c r="H7" s="425"/>
      <c r="I7" s="258">
        <v>3.8483999999999998</v>
      </c>
      <c r="J7" s="258">
        <v>3.9380000000000002</v>
      </c>
      <c r="K7" s="258">
        <v>4.1768000000000001</v>
      </c>
      <c r="L7" s="258">
        <v>4.8322000000000003</v>
      </c>
      <c r="M7" s="258">
        <v>4.3291000000000004</v>
      </c>
      <c r="N7" s="258">
        <v>4.3548999999999998</v>
      </c>
      <c r="O7" s="258">
        <v>5.0819999999999999</v>
      </c>
      <c r="P7" s="253">
        <v>4.3659142857142861</v>
      </c>
      <c r="Q7" s="443"/>
      <c r="R7" s="423"/>
      <c r="S7" s="360"/>
      <c r="T7" s="124">
        <f>(1/7)*100</f>
        <v>14.285714285714285</v>
      </c>
      <c r="U7" s="433"/>
      <c r="V7" s="430"/>
    </row>
    <row r="8" spans="1:22" x14ac:dyDescent="0.2">
      <c r="A8" s="194" t="s">
        <v>6</v>
      </c>
      <c r="B8" s="195" t="s">
        <v>12</v>
      </c>
      <c r="C8" s="195" t="s">
        <v>47</v>
      </c>
      <c r="D8" s="196">
        <v>24</v>
      </c>
      <c r="E8" s="197">
        <v>30240</v>
      </c>
      <c r="F8" s="198">
        <v>3704</v>
      </c>
      <c r="G8" s="199">
        <v>15</v>
      </c>
      <c r="H8" s="425"/>
      <c r="I8" s="258">
        <v>3.7633999999999999</v>
      </c>
      <c r="J8" s="258">
        <v>3.6122000000000001</v>
      </c>
      <c r="K8" s="258">
        <v>4.1254999999999997</v>
      </c>
      <c r="L8" s="258">
        <v>4.5077999999999996</v>
      </c>
      <c r="M8" s="258">
        <v>3.5920000000000001</v>
      </c>
      <c r="N8" s="258">
        <v>3.6133000000000002</v>
      </c>
      <c r="O8" s="258">
        <v>4.2004000000000001</v>
      </c>
      <c r="P8" s="252">
        <v>3.9163714285714284</v>
      </c>
      <c r="Q8" s="443"/>
      <c r="R8" s="423"/>
      <c r="S8" s="360"/>
      <c r="T8" s="124">
        <f>(0/7)*100</f>
        <v>0</v>
      </c>
      <c r="U8" s="434"/>
      <c r="V8" s="430"/>
    </row>
    <row r="9" spans="1:22" x14ac:dyDescent="0.2">
      <c r="A9" s="183" t="s">
        <v>6</v>
      </c>
      <c r="B9" s="202" t="s">
        <v>13</v>
      </c>
      <c r="C9" s="184" t="s">
        <v>48</v>
      </c>
      <c r="D9" s="185">
        <v>40</v>
      </c>
      <c r="E9" s="186">
        <v>10400</v>
      </c>
      <c r="F9" s="187">
        <v>500</v>
      </c>
      <c r="G9" s="200">
        <v>3</v>
      </c>
      <c r="H9" s="425"/>
      <c r="I9" s="258">
        <v>3.7866</v>
      </c>
      <c r="J9" s="258">
        <v>4.2811000000000003</v>
      </c>
      <c r="K9" s="258">
        <v>5.0998000000000001</v>
      </c>
      <c r="L9" s="258">
        <v>4.8154000000000003</v>
      </c>
      <c r="M9" s="258">
        <v>4.1215000000000002</v>
      </c>
      <c r="N9" s="258">
        <v>5.8228</v>
      </c>
      <c r="O9" s="258">
        <v>5.3813000000000004</v>
      </c>
      <c r="P9" s="253">
        <v>4.7583571428571432</v>
      </c>
      <c r="Q9" s="442">
        <v>4.6784952380952385</v>
      </c>
      <c r="R9" s="423"/>
      <c r="S9" s="360"/>
      <c r="T9" s="124">
        <f>(3/7)*100</f>
        <v>42.857142857142854</v>
      </c>
      <c r="U9" s="432">
        <f>(5/21)*100</f>
        <v>23.809523809523807</v>
      </c>
      <c r="V9" s="430"/>
    </row>
    <row r="10" spans="1:22" x14ac:dyDescent="0.2">
      <c r="A10" s="189" t="s">
        <v>6</v>
      </c>
      <c r="B10" s="203" t="s">
        <v>13</v>
      </c>
      <c r="C10" s="190" t="s">
        <v>48</v>
      </c>
      <c r="D10" s="191">
        <v>40</v>
      </c>
      <c r="E10" s="192">
        <v>20400</v>
      </c>
      <c r="F10" s="181">
        <v>926</v>
      </c>
      <c r="G10" s="201">
        <v>7</v>
      </c>
      <c r="H10" s="425"/>
      <c r="I10" s="258">
        <v>4.2405999999999997</v>
      </c>
      <c r="J10" s="258">
        <v>4.7431999999999999</v>
      </c>
      <c r="K10" s="258">
        <v>4.9332000000000003</v>
      </c>
      <c r="L10" s="258">
        <v>4.8663999999999996</v>
      </c>
      <c r="M10" s="258">
        <v>3.9420999999999999</v>
      </c>
      <c r="N10" s="258">
        <v>5.9806999999999997</v>
      </c>
      <c r="O10" s="258">
        <v>5.0316000000000001</v>
      </c>
      <c r="P10" s="253">
        <v>4.819685714285713</v>
      </c>
      <c r="Q10" s="443"/>
      <c r="R10" s="423"/>
      <c r="S10" s="360"/>
      <c r="T10" s="124">
        <f>(2/7)*100</f>
        <v>28.571428571428569</v>
      </c>
      <c r="U10" s="433"/>
      <c r="V10" s="430"/>
    </row>
    <row r="11" spans="1:22" x14ac:dyDescent="0.2">
      <c r="A11" s="194" t="s">
        <v>6</v>
      </c>
      <c r="B11" s="204" t="s">
        <v>13</v>
      </c>
      <c r="C11" s="195" t="s">
        <v>48</v>
      </c>
      <c r="D11" s="196">
        <v>40</v>
      </c>
      <c r="E11" s="197">
        <v>30400</v>
      </c>
      <c r="F11" s="198">
        <v>3704</v>
      </c>
      <c r="G11" s="199">
        <v>13</v>
      </c>
      <c r="H11" s="426"/>
      <c r="I11" s="258">
        <v>4.4256000000000002</v>
      </c>
      <c r="J11" s="258">
        <v>4.681</v>
      </c>
      <c r="K11" s="258">
        <v>4.2035999999999998</v>
      </c>
      <c r="L11" s="258">
        <v>4.2293000000000003</v>
      </c>
      <c r="M11" s="258">
        <v>3.7639</v>
      </c>
      <c r="N11" s="258">
        <v>4.9089999999999998</v>
      </c>
      <c r="O11" s="258">
        <v>4.9897</v>
      </c>
      <c r="P11" s="253">
        <v>4.4574428571428566</v>
      </c>
      <c r="Q11" s="443"/>
      <c r="R11" s="423"/>
      <c r="S11" s="361"/>
      <c r="T11" s="124">
        <f t="shared" ref="T11:T17" si="0">(0/7)*100</f>
        <v>0</v>
      </c>
      <c r="U11" s="434"/>
      <c r="V11" s="431"/>
    </row>
    <row r="12" spans="1:22" x14ac:dyDescent="0.2">
      <c r="A12" s="183" t="s">
        <v>6</v>
      </c>
      <c r="B12" s="205" t="s">
        <v>50</v>
      </c>
      <c r="C12" s="205" t="s">
        <v>51</v>
      </c>
      <c r="D12" s="185">
        <v>53</v>
      </c>
      <c r="E12" s="186">
        <v>10530</v>
      </c>
      <c r="F12" s="187">
        <v>500</v>
      </c>
      <c r="G12" s="200">
        <v>6.5</v>
      </c>
      <c r="H12" s="424" t="s">
        <v>83</v>
      </c>
      <c r="I12" s="258">
        <v>2.4634999999999998</v>
      </c>
      <c r="J12" s="258">
        <v>3.9704999999999999</v>
      </c>
      <c r="K12" s="258">
        <v>4.5190000000000001</v>
      </c>
      <c r="L12" s="258">
        <v>4.4481000000000002</v>
      </c>
      <c r="M12" s="258">
        <v>4.5629999999999997</v>
      </c>
      <c r="N12" s="258">
        <v>4.0576999999999996</v>
      </c>
      <c r="O12" s="258">
        <v>4.5218999999999996</v>
      </c>
      <c r="P12" s="253">
        <v>4.0776714285714286</v>
      </c>
      <c r="Q12" s="442">
        <v>4.0963999999999992</v>
      </c>
      <c r="R12" s="446">
        <v>4.149114285714286</v>
      </c>
      <c r="S12" s="359">
        <v>5</v>
      </c>
      <c r="T12" s="124">
        <f t="shared" si="0"/>
        <v>0</v>
      </c>
      <c r="U12" s="432">
        <f>(0/21)*100</f>
        <v>0</v>
      </c>
      <c r="V12" s="429">
        <f>(0/42)*100</f>
        <v>0</v>
      </c>
    </row>
    <row r="13" spans="1:22" x14ac:dyDescent="0.2">
      <c r="A13" s="189" t="s">
        <v>6</v>
      </c>
      <c r="B13" s="206" t="s">
        <v>50</v>
      </c>
      <c r="C13" s="206" t="s">
        <v>51</v>
      </c>
      <c r="D13" s="191">
        <v>53</v>
      </c>
      <c r="E13" s="192">
        <v>20530</v>
      </c>
      <c r="F13" s="181">
        <v>926</v>
      </c>
      <c r="G13" s="201">
        <v>7</v>
      </c>
      <c r="H13" s="425"/>
      <c r="I13" s="258">
        <v>2.7532000000000001</v>
      </c>
      <c r="J13" s="258">
        <v>4.1718000000000002</v>
      </c>
      <c r="K13" s="258">
        <v>4.5305</v>
      </c>
      <c r="L13" s="258">
        <v>3.9998999999999998</v>
      </c>
      <c r="M13" s="258">
        <v>4.2361000000000004</v>
      </c>
      <c r="N13" s="258">
        <v>4.2403000000000004</v>
      </c>
      <c r="O13" s="258">
        <v>4.8556999999999997</v>
      </c>
      <c r="P13" s="253">
        <v>4.1124999999999998</v>
      </c>
      <c r="Q13" s="443"/>
      <c r="R13" s="423"/>
      <c r="S13" s="360"/>
      <c r="T13" s="124">
        <f t="shared" si="0"/>
        <v>0</v>
      </c>
      <c r="U13" s="433"/>
      <c r="V13" s="430"/>
    </row>
    <row r="14" spans="1:22" x14ac:dyDescent="0.2">
      <c r="A14" s="194" t="s">
        <v>6</v>
      </c>
      <c r="B14" s="207" t="s">
        <v>50</v>
      </c>
      <c r="C14" s="207" t="s">
        <v>51</v>
      </c>
      <c r="D14" s="196">
        <v>53</v>
      </c>
      <c r="E14" s="197">
        <v>30530</v>
      </c>
      <c r="F14" s="198">
        <v>3704</v>
      </c>
      <c r="G14" s="199">
        <v>14</v>
      </c>
      <c r="H14" s="425"/>
      <c r="I14" s="258">
        <v>2.9535</v>
      </c>
      <c r="J14" s="258">
        <v>3.8944000000000001</v>
      </c>
      <c r="K14" s="258">
        <v>3.8719000000000001</v>
      </c>
      <c r="L14" s="258">
        <v>4.6775000000000002</v>
      </c>
      <c r="M14" s="258">
        <v>4.1295999999999999</v>
      </c>
      <c r="N14" s="258">
        <v>4.4968000000000004</v>
      </c>
      <c r="O14" s="258">
        <v>4.6695000000000002</v>
      </c>
      <c r="P14" s="253">
        <v>4.0990285714285708</v>
      </c>
      <c r="Q14" s="443"/>
      <c r="R14" s="423"/>
      <c r="S14" s="360"/>
      <c r="T14" s="124">
        <f t="shared" si="0"/>
        <v>0</v>
      </c>
      <c r="U14" s="434"/>
      <c r="V14" s="430"/>
    </row>
    <row r="15" spans="1:22" x14ac:dyDescent="0.2">
      <c r="A15" s="183" t="s">
        <v>6</v>
      </c>
      <c r="B15" s="205" t="s">
        <v>49</v>
      </c>
      <c r="C15" s="205" t="s">
        <v>52</v>
      </c>
      <c r="D15" s="185">
        <v>56</v>
      </c>
      <c r="E15" s="186">
        <v>10560</v>
      </c>
      <c r="F15" s="187">
        <v>500</v>
      </c>
      <c r="G15" s="200">
        <v>3.5</v>
      </c>
      <c r="H15" s="425"/>
      <c r="I15" s="258">
        <v>2.4790999999999999</v>
      </c>
      <c r="J15" s="258">
        <v>4.5906000000000002</v>
      </c>
      <c r="K15" s="258">
        <v>3.6334</v>
      </c>
      <c r="L15" s="258">
        <v>4.1619999999999999</v>
      </c>
      <c r="M15" s="258">
        <v>4.1798000000000002</v>
      </c>
      <c r="N15" s="258">
        <v>4.4806999999999997</v>
      </c>
      <c r="O15" s="258">
        <v>4.8612000000000002</v>
      </c>
      <c r="P15" s="253">
        <v>4.0552571428571422</v>
      </c>
      <c r="Q15" s="442">
        <v>4.201828571428571</v>
      </c>
      <c r="R15" s="423"/>
      <c r="S15" s="360"/>
      <c r="T15" s="124">
        <f t="shared" si="0"/>
        <v>0</v>
      </c>
      <c r="U15" s="432">
        <f>(0/21)*100</f>
        <v>0</v>
      </c>
      <c r="V15" s="430"/>
    </row>
    <row r="16" spans="1:22" x14ac:dyDescent="0.2">
      <c r="A16" s="189" t="s">
        <v>6</v>
      </c>
      <c r="B16" s="206" t="s">
        <v>49</v>
      </c>
      <c r="C16" s="206" t="s">
        <v>52</v>
      </c>
      <c r="D16" s="191">
        <v>56</v>
      </c>
      <c r="E16" s="181">
        <v>20560</v>
      </c>
      <c r="F16" s="181">
        <v>926</v>
      </c>
      <c r="G16" s="201">
        <v>5</v>
      </c>
      <c r="H16" s="425"/>
      <c r="I16" s="258">
        <v>3.1930999999999998</v>
      </c>
      <c r="J16" s="258">
        <v>4.5481999999999996</v>
      </c>
      <c r="K16" s="258">
        <v>4.1402000000000001</v>
      </c>
      <c r="L16" s="258">
        <v>3.8386</v>
      </c>
      <c r="M16" s="258">
        <v>4.0147000000000004</v>
      </c>
      <c r="N16" s="258">
        <v>4.8468</v>
      </c>
      <c r="O16" s="258">
        <v>4.6412000000000004</v>
      </c>
      <c r="P16" s="253">
        <v>4.1746857142857143</v>
      </c>
      <c r="Q16" s="443"/>
      <c r="R16" s="423"/>
      <c r="S16" s="360"/>
      <c r="T16" s="124">
        <f t="shared" si="0"/>
        <v>0</v>
      </c>
      <c r="U16" s="433"/>
      <c r="V16" s="430"/>
    </row>
    <row r="17" spans="1:22" x14ac:dyDescent="0.2">
      <c r="A17" s="194" t="s">
        <v>6</v>
      </c>
      <c r="B17" s="207" t="s">
        <v>49</v>
      </c>
      <c r="C17" s="207" t="s">
        <v>52</v>
      </c>
      <c r="D17" s="196">
        <v>56</v>
      </c>
      <c r="E17" s="198">
        <v>30560</v>
      </c>
      <c r="F17" s="198">
        <v>3704</v>
      </c>
      <c r="G17" s="199">
        <v>16</v>
      </c>
      <c r="H17" s="426"/>
      <c r="I17" s="258">
        <v>3.8822999999999999</v>
      </c>
      <c r="J17" s="258">
        <v>4.3017000000000003</v>
      </c>
      <c r="K17" s="258">
        <v>4.6741999999999999</v>
      </c>
      <c r="L17" s="258">
        <v>4.6375000000000002</v>
      </c>
      <c r="M17" s="258">
        <v>3.9626000000000001</v>
      </c>
      <c r="N17" s="258">
        <v>4.6994999999999996</v>
      </c>
      <c r="O17" s="258">
        <v>4.4710000000000001</v>
      </c>
      <c r="P17" s="253">
        <v>4.3755428571428574</v>
      </c>
      <c r="Q17" s="443"/>
      <c r="R17" s="423"/>
      <c r="S17" s="361"/>
      <c r="T17" s="124">
        <f t="shared" si="0"/>
        <v>0</v>
      </c>
      <c r="U17" s="434"/>
      <c r="V17" s="431"/>
    </row>
    <row r="18" spans="1:22" x14ac:dyDescent="0.2">
      <c r="A18" s="183" t="s">
        <v>6</v>
      </c>
      <c r="B18" s="205" t="s">
        <v>16</v>
      </c>
      <c r="C18" s="205" t="s">
        <v>53</v>
      </c>
      <c r="D18" s="185">
        <v>64</v>
      </c>
      <c r="E18" s="187">
        <v>10640</v>
      </c>
      <c r="F18" s="187">
        <v>500</v>
      </c>
      <c r="G18" s="200">
        <v>6</v>
      </c>
      <c r="H18" s="424" t="s">
        <v>88</v>
      </c>
      <c r="I18" s="258">
        <v>5.2325999999999997</v>
      </c>
      <c r="J18" s="258">
        <v>6.0568999999999997</v>
      </c>
      <c r="K18" s="258">
        <v>5.6581000000000001</v>
      </c>
      <c r="L18" s="258">
        <v>5.0542999999999996</v>
      </c>
      <c r="M18" s="258">
        <v>5.8944000000000001</v>
      </c>
      <c r="N18" s="258">
        <v>5.5152999999999999</v>
      </c>
      <c r="O18" s="258">
        <v>5.8006000000000002</v>
      </c>
      <c r="P18" s="254">
        <v>5.6017428571428578</v>
      </c>
      <c r="Q18" s="440">
        <v>5.2485428571428585</v>
      </c>
      <c r="R18" s="444">
        <v>5.062342857142859</v>
      </c>
      <c r="S18" s="359">
        <v>5</v>
      </c>
      <c r="T18" s="124">
        <f>(7/7)*100</f>
        <v>100</v>
      </c>
      <c r="U18" s="432">
        <f>(16/21)*100</f>
        <v>76.19047619047619</v>
      </c>
      <c r="V18" s="429">
        <f>(25/42)*100</f>
        <v>59.523809523809526</v>
      </c>
    </row>
    <row r="19" spans="1:22" x14ac:dyDescent="0.2">
      <c r="A19" s="189" t="s">
        <v>6</v>
      </c>
      <c r="B19" s="206" t="s">
        <v>16</v>
      </c>
      <c r="C19" s="206" t="s">
        <v>53</v>
      </c>
      <c r="D19" s="191">
        <v>64</v>
      </c>
      <c r="E19" s="181">
        <v>20640</v>
      </c>
      <c r="F19" s="181">
        <v>926</v>
      </c>
      <c r="G19" s="201">
        <v>10</v>
      </c>
      <c r="H19" s="425"/>
      <c r="I19" s="258">
        <v>5.0914999999999999</v>
      </c>
      <c r="J19" s="258">
        <v>6.6268000000000002</v>
      </c>
      <c r="K19" s="258">
        <v>5.7305000000000001</v>
      </c>
      <c r="L19" s="258">
        <v>5.4936999999999996</v>
      </c>
      <c r="M19" s="258">
        <v>4.8685999999999998</v>
      </c>
      <c r="N19" s="258">
        <v>5.4734999999999996</v>
      </c>
      <c r="O19" s="258">
        <v>5.5106000000000002</v>
      </c>
      <c r="P19" s="254">
        <v>5.5421714285714279</v>
      </c>
      <c r="Q19" s="441"/>
      <c r="R19" s="445"/>
      <c r="S19" s="360"/>
      <c r="T19" s="124">
        <f>(6/7)*100</f>
        <v>85.714285714285708</v>
      </c>
      <c r="U19" s="433"/>
      <c r="V19" s="430"/>
    </row>
    <row r="20" spans="1:22" x14ac:dyDescent="0.2">
      <c r="A20" s="194" t="s">
        <v>6</v>
      </c>
      <c r="B20" s="207" t="s">
        <v>16</v>
      </c>
      <c r="C20" s="207" t="s">
        <v>53</v>
      </c>
      <c r="D20" s="196">
        <v>64</v>
      </c>
      <c r="E20" s="198">
        <v>30640</v>
      </c>
      <c r="F20" s="198">
        <v>3704</v>
      </c>
      <c r="G20" s="199">
        <v>19</v>
      </c>
      <c r="H20" s="425"/>
      <c r="I20" s="258">
        <v>4.3742000000000001</v>
      </c>
      <c r="J20" s="258">
        <v>5.1018999999999997</v>
      </c>
      <c r="K20" s="258">
        <v>4.3327</v>
      </c>
      <c r="L20" s="258">
        <v>5.0453000000000001</v>
      </c>
      <c r="M20" s="258">
        <v>3.6179000000000001</v>
      </c>
      <c r="N20" s="258">
        <v>4.0746000000000002</v>
      </c>
      <c r="O20" s="258">
        <v>5.6654</v>
      </c>
      <c r="P20" s="253">
        <v>4.6017142857142854</v>
      </c>
      <c r="Q20" s="441"/>
      <c r="R20" s="445"/>
      <c r="S20" s="360"/>
      <c r="T20" s="124">
        <f>(3/7)*100</f>
        <v>42.857142857142854</v>
      </c>
      <c r="U20" s="434"/>
      <c r="V20" s="430"/>
    </row>
    <row r="21" spans="1:22" x14ac:dyDescent="0.2">
      <c r="A21" s="183" t="s">
        <v>19</v>
      </c>
      <c r="B21" s="205" t="s">
        <v>20</v>
      </c>
      <c r="C21" s="205" t="s">
        <v>54</v>
      </c>
      <c r="D21" s="185">
        <v>72</v>
      </c>
      <c r="E21" s="187">
        <v>10720</v>
      </c>
      <c r="F21" s="187">
        <v>500</v>
      </c>
      <c r="G21" s="200">
        <v>3</v>
      </c>
      <c r="H21" s="425"/>
      <c r="I21" s="258">
        <v>4.5155000000000003</v>
      </c>
      <c r="J21" s="258">
        <v>5.7603</v>
      </c>
      <c r="K21" s="258">
        <v>3.6720999999999999</v>
      </c>
      <c r="L21" s="258">
        <v>3.7427999999999999</v>
      </c>
      <c r="M21" s="258">
        <v>5.1223000000000001</v>
      </c>
      <c r="N21" s="258">
        <v>4.7683999999999997</v>
      </c>
      <c r="O21" s="258">
        <v>5.2184999999999997</v>
      </c>
      <c r="P21" s="253">
        <v>4.6856999999999998</v>
      </c>
      <c r="Q21" s="442">
        <v>4.8761428571428569</v>
      </c>
      <c r="R21" s="445"/>
      <c r="S21" s="360"/>
      <c r="T21" s="124">
        <f>(3/7)*100</f>
        <v>42.857142857142854</v>
      </c>
      <c r="U21" s="432">
        <f>(9/21)*100</f>
        <v>42.857142857142854</v>
      </c>
      <c r="V21" s="430"/>
    </row>
    <row r="22" spans="1:22" x14ac:dyDescent="0.2">
      <c r="A22" s="189" t="s">
        <v>19</v>
      </c>
      <c r="B22" s="206" t="s">
        <v>20</v>
      </c>
      <c r="C22" s="206" t="s">
        <v>54</v>
      </c>
      <c r="D22" s="191">
        <v>72</v>
      </c>
      <c r="E22" s="181">
        <v>20720</v>
      </c>
      <c r="F22" s="181">
        <v>926</v>
      </c>
      <c r="G22" s="201">
        <v>6</v>
      </c>
      <c r="H22" s="425"/>
      <c r="I22" s="258">
        <v>6.0480999999999998</v>
      </c>
      <c r="J22" s="258">
        <v>5.9908000000000001</v>
      </c>
      <c r="K22" s="258">
        <v>4.8730000000000002</v>
      </c>
      <c r="L22" s="258">
        <v>4.9875999999999996</v>
      </c>
      <c r="M22" s="258">
        <v>4.2531999999999996</v>
      </c>
      <c r="N22" s="258">
        <v>4.8323</v>
      </c>
      <c r="O22" s="258">
        <v>5.0773999999999999</v>
      </c>
      <c r="P22" s="254">
        <v>5.1517714285714282</v>
      </c>
      <c r="Q22" s="443"/>
      <c r="R22" s="445"/>
      <c r="S22" s="360"/>
      <c r="T22" s="124">
        <f>(3/7)*100</f>
        <v>42.857142857142854</v>
      </c>
      <c r="U22" s="433"/>
      <c r="V22" s="430"/>
    </row>
    <row r="23" spans="1:22" x14ac:dyDescent="0.2">
      <c r="A23" s="194" t="s">
        <v>19</v>
      </c>
      <c r="B23" s="207" t="s">
        <v>20</v>
      </c>
      <c r="C23" s="207" t="s">
        <v>54</v>
      </c>
      <c r="D23" s="196">
        <v>72</v>
      </c>
      <c r="E23" s="198">
        <v>30720</v>
      </c>
      <c r="F23" s="198">
        <v>3704</v>
      </c>
      <c r="G23" s="199">
        <v>14</v>
      </c>
      <c r="H23" s="426"/>
      <c r="I23" s="258">
        <v>4.1307</v>
      </c>
      <c r="J23" s="258">
        <v>5.83</v>
      </c>
      <c r="K23" s="258">
        <v>5.1894</v>
      </c>
      <c r="L23" s="258">
        <v>5.1584000000000003</v>
      </c>
      <c r="M23" s="258">
        <v>3.9762</v>
      </c>
      <c r="N23" s="258">
        <v>4.4699</v>
      </c>
      <c r="O23" s="258">
        <v>4.7820999999999998</v>
      </c>
      <c r="P23" s="253">
        <v>4.7909571428571427</v>
      </c>
      <c r="Q23" s="443"/>
      <c r="R23" s="445"/>
      <c r="S23" s="361"/>
      <c r="T23" s="124">
        <f>(3/7)*100</f>
        <v>42.857142857142854</v>
      </c>
      <c r="U23" s="434"/>
      <c r="V23" s="431"/>
    </row>
    <row r="24" spans="1:22" x14ac:dyDescent="0.2">
      <c r="A24" s="183" t="s">
        <v>19</v>
      </c>
      <c r="B24" s="208" t="s">
        <v>24</v>
      </c>
      <c r="C24" s="208" t="s">
        <v>25</v>
      </c>
      <c r="D24" s="185">
        <v>601</v>
      </c>
      <c r="E24" s="209">
        <v>16010</v>
      </c>
      <c r="F24" s="187">
        <v>500</v>
      </c>
      <c r="G24" s="200">
        <v>6</v>
      </c>
      <c r="H24" s="424" t="s">
        <v>84</v>
      </c>
      <c r="I24" s="258">
        <v>6.3293999999999997</v>
      </c>
      <c r="J24" s="258">
        <v>6.5449999999999999</v>
      </c>
      <c r="K24" s="258">
        <v>4.9053000000000004</v>
      </c>
      <c r="L24" s="258">
        <v>4.1856999999999998</v>
      </c>
      <c r="M24" s="258">
        <v>4.9687999999999999</v>
      </c>
      <c r="N24" s="258">
        <v>4.1528</v>
      </c>
      <c r="O24" s="258">
        <v>5.7340999999999998</v>
      </c>
      <c r="P24" s="254">
        <v>5.2601571428571416</v>
      </c>
      <c r="Q24" s="440">
        <v>5.0234952380952382</v>
      </c>
      <c r="R24" s="444">
        <v>5.1358000000000015</v>
      </c>
      <c r="S24" s="359">
        <v>5</v>
      </c>
      <c r="T24" s="124">
        <f>(3/7)*100</f>
        <v>42.857142857142854</v>
      </c>
      <c r="U24" s="432">
        <f>(8/21)*100</f>
        <v>38.095238095238095</v>
      </c>
      <c r="V24" s="429">
        <f>(21/42)*100</f>
        <v>50</v>
      </c>
    </row>
    <row r="25" spans="1:22" x14ac:dyDescent="0.2">
      <c r="A25" s="189" t="s">
        <v>19</v>
      </c>
      <c r="B25" s="182" t="s">
        <v>24</v>
      </c>
      <c r="C25" s="182" t="s">
        <v>25</v>
      </c>
      <c r="D25" s="191">
        <v>601</v>
      </c>
      <c r="E25" s="210">
        <v>26010</v>
      </c>
      <c r="F25" s="181">
        <v>926</v>
      </c>
      <c r="G25" s="201">
        <v>16</v>
      </c>
      <c r="H25" s="425"/>
      <c r="I25" s="258">
        <v>5.4451000000000001</v>
      </c>
      <c r="J25" s="258">
        <v>6.7834000000000003</v>
      </c>
      <c r="K25" s="258">
        <v>4.4207000000000001</v>
      </c>
      <c r="L25" s="258">
        <v>5.8909000000000002</v>
      </c>
      <c r="M25" s="258">
        <v>3.9874999999999998</v>
      </c>
      <c r="N25" s="258">
        <v>4.9722999999999997</v>
      </c>
      <c r="O25" s="258">
        <v>6.11</v>
      </c>
      <c r="P25" s="254">
        <v>5.3728428571428575</v>
      </c>
      <c r="Q25" s="441"/>
      <c r="R25" s="445"/>
      <c r="S25" s="360"/>
      <c r="T25" s="124">
        <f>(4/7)*100</f>
        <v>57.142857142857139</v>
      </c>
      <c r="U25" s="433"/>
      <c r="V25" s="430"/>
    </row>
    <row r="26" spans="1:22" x14ac:dyDescent="0.2">
      <c r="A26" s="194" t="s">
        <v>19</v>
      </c>
      <c r="B26" s="211" t="s">
        <v>24</v>
      </c>
      <c r="C26" s="211" t="s">
        <v>25</v>
      </c>
      <c r="D26" s="196">
        <v>601</v>
      </c>
      <c r="E26" s="212">
        <v>36010</v>
      </c>
      <c r="F26" s="198">
        <v>3704</v>
      </c>
      <c r="G26" s="199">
        <v>27</v>
      </c>
      <c r="H26" s="425"/>
      <c r="I26" s="258">
        <v>4.3426</v>
      </c>
      <c r="J26" s="258">
        <v>4.8875999999999999</v>
      </c>
      <c r="K26" s="258">
        <v>3.4325999999999999</v>
      </c>
      <c r="L26" s="258">
        <v>4.7317999999999998</v>
      </c>
      <c r="M26" s="258">
        <v>3.3161999999999998</v>
      </c>
      <c r="N26" s="258">
        <v>5.7073</v>
      </c>
      <c r="O26" s="258">
        <v>4.6443000000000003</v>
      </c>
      <c r="P26" s="257">
        <v>4.4374857142857147</v>
      </c>
      <c r="Q26" s="441"/>
      <c r="R26" s="445"/>
      <c r="S26" s="360"/>
      <c r="T26" s="124">
        <f>(1/7)*100</f>
        <v>14.285714285714285</v>
      </c>
      <c r="U26" s="434"/>
      <c r="V26" s="430"/>
    </row>
    <row r="27" spans="1:22" x14ac:dyDescent="0.2">
      <c r="A27" s="213" t="s">
        <v>19</v>
      </c>
      <c r="B27" s="208" t="s">
        <v>24</v>
      </c>
      <c r="C27" s="208" t="s">
        <v>78</v>
      </c>
      <c r="D27" s="185">
        <v>82</v>
      </c>
      <c r="E27" s="187">
        <v>10820</v>
      </c>
      <c r="F27" s="187">
        <v>500</v>
      </c>
      <c r="G27" s="200">
        <v>5</v>
      </c>
      <c r="H27" s="425"/>
      <c r="I27" s="258">
        <v>5.4893000000000001</v>
      </c>
      <c r="J27" s="258">
        <v>6.7882999999999996</v>
      </c>
      <c r="K27" s="258">
        <v>4.4772999999999996</v>
      </c>
      <c r="L27" s="258">
        <v>6.0442</v>
      </c>
      <c r="M27" s="258">
        <v>4.5297999999999998</v>
      </c>
      <c r="N27" s="258">
        <v>5.3102</v>
      </c>
      <c r="O27" s="258">
        <v>4.5824999999999996</v>
      </c>
      <c r="P27" s="254">
        <v>5.3173714285714277</v>
      </c>
      <c r="Q27" s="440">
        <v>5.2481047619047621</v>
      </c>
      <c r="R27" s="445"/>
      <c r="S27" s="360"/>
      <c r="T27" s="124">
        <f>(4/7)*100</f>
        <v>57.142857142857139</v>
      </c>
      <c r="U27" s="432">
        <f>(13/21)*100</f>
        <v>61.904761904761905</v>
      </c>
      <c r="V27" s="430"/>
    </row>
    <row r="28" spans="1:22" x14ac:dyDescent="0.2">
      <c r="A28" s="214" t="s">
        <v>19</v>
      </c>
      <c r="B28" s="182" t="s">
        <v>24</v>
      </c>
      <c r="C28" s="182" t="s">
        <v>78</v>
      </c>
      <c r="D28" s="191">
        <v>82</v>
      </c>
      <c r="E28" s="181">
        <v>20820</v>
      </c>
      <c r="F28" s="181">
        <v>926</v>
      </c>
      <c r="G28" s="201">
        <v>7</v>
      </c>
      <c r="H28" s="425"/>
      <c r="I28" s="258">
        <v>5.6013999999999999</v>
      </c>
      <c r="J28" s="258">
        <v>5.8192000000000004</v>
      </c>
      <c r="K28" s="258">
        <v>4.8941999999999997</v>
      </c>
      <c r="L28" s="258">
        <v>5.6782000000000004</v>
      </c>
      <c r="M28" s="258">
        <v>4.1669</v>
      </c>
      <c r="N28" s="258">
        <v>4.2949000000000002</v>
      </c>
      <c r="O28" s="258">
        <v>5.3688000000000002</v>
      </c>
      <c r="P28" s="254">
        <v>5.1176571428571425</v>
      </c>
      <c r="Q28" s="441"/>
      <c r="R28" s="445"/>
      <c r="S28" s="360"/>
      <c r="T28" s="124">
        <f>(4/7)*100</f>
        <v>57.142857142857139</v>
      </c>
      <c r="U28" s="433"/>
      <c r="V28" s="430"/>
    </row>
    <row r="29" spans="1:22" x14ac:dyDescent="0.2">
      <c r="A29" s="215" t="s">
        <v>19</v>
      </c>
      <c r="B29" s="211" t="s">
        <v>24</v>
      </c>
      <c r="C29" s="211" t="s">
        <v>78</v>
      </c>
      <c r="D29" s="196">
        <v>82</v>
      </c>
      <c r="E29" s="198">
        <v>30820</v>
      </c>
      <c r="F29" s="198">
        <v>3704</v>
      </c>
      <c r="G29" s="199">
        <v>15</v>
      </c>
      <c r="H29" s="426"/>
      <c r="I29" s="258">
        <v>5.0773000000000001</v>
      </c>
      <c r="J29" s="258">
        <v>6.7008999999999999</v>
      </c>
      <c r="K29" s="258">
        <v>4.4877000000000002</v>
      </c>
      <c r="L29" s="258">
        <v>5.7287999999999997</v>
      </c>
      <c r="M29" s="258">
        <v>4.5236999999999998</v>
      </c>
      <c r="N29" s="258">
        <v>5.0034999999999998</v>
      </c>
      <c r="O29" s="258">
        <v>5.6430999999999996</v>
      </c>
      <c r="P29" s="254">
        <v>5.3092857142857142</v>
      </c>
      <c r="Q29" s="441"/>
      <c r="R29" s="445"/>
      <c r="S29" s="361"/>
      <c r="T29" s="124">
        <f>(5/7)*100</f>
        <v>71.428571428571431</v>
      </c>
      <c r="U29" s="434"/>
      <c r="V29" s="431"/>
    </row>
    <row r="30" spans="1:22" ht="15" x14ac:dyDescent="0.2">
      <c r="A30" s="216" t="s">
        <v>6</v>
      </c>
      <c r="B30" s="161" t="s">
        <v>50</v>
      </c>
      <c r="C30" s="161" t="s">
        <v>106</v>
      </c>
      <c r="D30" s="241">
        <v>53</v>
      </c>
      <c r="E30" s="158">
        <v>40530</v>
      </c>
      <c r="F30" s="218">
        <v>8334</v>
      </c>
      <c r="G30" s="219">
        <v>18</v>
      </c>
      <c r="H30" s="222" t="s">
        <v>104</v>
      </c>
      <c r="I30" s="258">
        <v>3.1135000000000002</v>
      </c>
      <c r="J30" s="258">
        <v>4.1311</v>
      </c>
      <c r="K30" s="258">
        <v>2.6339000000000001</v>
      </c>
      <c r="L30" s="258">
        <v>3.1903000000000001</v>
      </c>
      <c r="M30" s="258">
        <v>3.2326999999999999</v>
      </c>
      <c r="N30" s="258">
        <v>4.1582999999999997</v>
      </c>
      <c r="O30" s="258">
        <v>4.7565999999999997</v>
      </c>
      <c r="P30" s="252">
        <v>3.6023428571428573</v>
      </c>
      <c r="Q30" s="252">
        <v>3.6023428571428573</v>
      </c>
      <c r="R30" s="246">
        <v>3.6023428571428573</v>
      </c>
      <c r="S30" s="172">
        <v>4.5</v>
      </c>
      <c r="T30" s="124">
        <f>(1/7)*100</f>
        <v>14.285714285714285</v>
      </c>
      <c r="U30" s="124">
        <f>(1/7)*100</f>
        <v>14.285714285714285</v>
      </c>
      <c r="V30" s="145">
        <f>(1/7)*100</f>
        <v>14.285714285714285</v>
      </c>
    </row>
    <row r="31" spans="1:22" ht="15" x14ac:dyDescent="0.2">
      <c r="A31" s="216" t="s">
        <v>19</v>
      </c>
      <c r="B31" s="161" t="s">
        <v>20</v>
      </c>
      <c r="C31" s="161" t="s">
        <v>54</v>
      </c>
      <c r="D31" s="196">
        <v>72</v>
      </c>
      <c r="E31" s="218">
        <v>40720</v>
      </c>
      <c r="F31" s="218">
        <v>7233</v>
      </c>
      <c r="G31" s="219">
        <v>21</v>
      </c>
      <c r="H31" s="223" t="s">
        <v>105</v>
      </c>
      <c r="I31" s="258">
        <v>4.1881000000000004</v>
      </c>
      <c r="J31" s="258">
        <v>5.9297000000000004</v>
      </c>
      <c r="K31" s="258">
        <v>4.6233000000000004</v>
      </c>
      <c r="L31" s="258">
        <v>5.1744000000000003</v>
      </c>
      <c r="M31" s="258">
        <v>3.4417</v>
      </c>
      <c r="N31" s="258">
        <v>4.4909999999999997</v>
      </c>
      <c r="O31" s="258">
        <v>4.6936999999999998</v>
      </c>
      <c r="P31" s="257">
        <v>4.6488428571428573</v>
      </c>
      <c r="Q31" s="257">
        <v>4.6488428571428573</v>
      </c>
      <c r="R31" s="255">
        <v>4.6488428571428573</v>
      </c>
      <c r="S31" s="172">
        <v>4.5</v>
      </c>
      <c r="T31" s="124">
        <f>(1/7)*100</f>
        <v>14.285714285714285</v>
      </c>
      <c r="U31" s="124">
        <f>(4/7)*100</f>
        <v>57.142857142857139</v>
      </c>
      <c r="V31" s="145">
        <f>(4/7)*100</f>
        <v>57.142857142857139</v>
      </c>
    </row>
    <row r="33" spans="10:18" x14ac:dyDescent="0.2">
      <c r="R33" s="256"/>
    </row>
    <row r="34" spans="10:18" x14ac:dyDescent="0.2">
      <c r="J34" s="224"/>
      <c r="Q34" s="256"/>
      <c r="R34" s="256"/>
    </row>
    <row r="35" spans="10:18" x14ac:dyDescent="0.2">
      <c r="Q35" s="256"/>
      <c r="R35" s="256"/>
    </row>
    <row r="36" spans="10:18" x14ac:dyDescent="0.2">
      <c r="Q36" s="256"/>
      <c r="R36" s="256"/>
    </row>
    <row r="37" spans="10:18" x14ac:dyDescent="0.2">
      <c r="Q37" s="256"/>
    </row>
    <row r="38" spans="10:18" x14ac:dyDescent="0.2">
      <c r="Q38" s="256"/>
    </row>
    <row r="39" spans="10:18" x14ac:dyDescent="0.2">
      <c r="Q39" s="256"/>
    </row>
    <row r="40" spans="10:18" x14ac:dyDescent="0.2">
      <c r="Q40" s="256"/>
    </row>
  </sheetData>
  <mergeCells count="36">
    <mergeCell ref="V24:V29"/>
    <mergeCell ref="Q27:Q29"/>
    <mergeCell ref="U27:U29"/>
    <mergeCell ref="U21:U23"/>
    <mergeCell ref="H24:H29"/>
    <mergeCell ref="Q24:Q26"/>
    <mergeCell ref="R24:R29"/>
    <mergeCell ref="S24:S29"/>
    <mergeCell ref="U24:U26"/>
    <mergeCell ref="V12:V17"/>
    <mergeCell ref="Q15:Q17"/>
    <mergeCell ref="U15:U17"/>
    <mergeCell ref="H18:H23"/>
    <mergeCell ref="Q18:Q20"/>
    <mergeCell ref="R18:R23"/>
    <mergeCell ref="S18:S23"/>
    <mergeCell ref="U18:U20"/>
    <mergeCell ref="V18:V23"/>
    <mergeCell ref="Q21:Q23"/>
    <mergeCell ref="H12:H17"/>
    <mergeCell ref="Q12:Q14"/>
    <mergeCell ref="R12:R17"/>
    <mergeCell ref="S12:S17"/>
    <mergeCell ref="U12:U14"/>
    <mergeCell ref="P1:R1"/>
    <mergeCell ref="S1:V1"/>
    <mergeCell ref="H3:H11"/>
    <mergeCell ref="Q3:Q5"/>
    <mergeCell ref="R3:R11"/>
    <mergeCell ref="S3:S11"/>
    <mergeCell ref="U3:U5"/>
    <mergeCell ref="V3:V11"/>
    <mergeCell ref="Q6:Q8"/>
    <mergeCell ref="U6:U8"/>
    <mergeCell ref="Q9:Q11"/>
    <mergeCell ref="U9:U11"/>
  </mergeCells>
  <pageMargins left="0.7" right="0.7" top="0.75" bottom="0.75"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40"/>
  <sheetViews>
    <sheetView topLeftCell="C1" zoomScale="70" zoomScaleNormal="70" workbookViewId="0">
      <selection activeCell="S18" sqref="S18:S23"/>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customWidth="1"/>
    <col min="14" max="14" width="11" customWidth="1"/>
    <col min="15" max="15" width="10.5703125" customWidth="1"/>
    <col min="16" max="17" width="11.28515625" customWidth="1"/>
    <col min="18" max="18" width="12.28515625" customWidth="1"/>
    <col min="19" max="19" width="13.85546875" style="171" customWidth="1"/>
    <col min="20" max="21" width="13" customWidth="1"/>
    <col min="22" max="22" width="14.7109375" customWidth="1"/>
  </cols>
  <sheetData>
    <row r="1" spans="1:22" ht="51" customHeight="1" x14ac:dyDescent="0.2">
      <c r="P1" s="371" t="s">
        <v>90</v>
      </c>
      <c r="Q1" s="371"/>
      <c r="R1" s="371"/>
      <c r="S1" s="447" t="s">
        <v>94</v>
      </c>
      <c r="T1" s="448"/>
      <c r="U1" s="448"/>
      <c r="V1" s="449"/>
    </row>
    <row r="2" spans="1:22" ht="51" x14ac:dyDescent="0.2">
      <c r="A2" s="74" t="s">
        <v>0</v>
      </c>
      <c r="B2" s="75" t="s">
        <v>1</v>
      </c>
      <c r="C2" s="74" t="s">
        <v>2</v>
      </c>
      <c r="D2" s="25" t="s">
        <v>89</v>
      </c>
      <c r="E2" s="74" t="s">
        <v>81</v>
      </c>
      <c r="F2" s="74" t="s">
        <v>4</v>
      </c>
      <c r="G2" s="74" t="s">
        <v>5</v>
      </c>
      <c r="H2" s="1" t="s">
        <v>85</v>
      </c>
      <c r="I2" s="25" t="s">
        <v>148</v>
      </c>
      <c r="J2" s="25" t="s">
        <v>154</v>
      </c>
      <c r="K2" s="25" t="s">
        <v>149</v>
      </c>
      <c r="L2" s="25" t="s">
        <v>150</v>
      </c>
      <c r="M2" s="25" t="s">
        <v>151</v>
      </c>
      <c r="N2" s="25" t="s">
        <v>152</v>
      </c>
      <c r="O2" s="25" t="s">
        <v>153</v>
      </c>
      <c r="P2" s="25" t="s">
        <v>71</v>
      </c>
      <c r="Q2" s="26" t="s">
        <v>72</v>
      </c>
      <c r="R2" s="26" t="s">
        <v>80</v>
      </c>
      <c r="S2" s="26" t="s">
        <v>107</v>
      </c>
      <c r="T2" s="146" t="s">
        <v>91</v>
      </c>
      <c r="U2" s="146" t="s">
        <v>92</v>
      </c>
      <c r="V2" s="146" t="s">
        <v>93</v>
      </c>
    </row>
    <row r="3" spans="1:22" x14ac:dyDescent="0.2">
      <c r="A3" s="183" t="s">
        <v>6</v>
      </c>
      <c r="B3" s="184" t="s">
        <v>9</v>
      </c>
      <c r="C3" s="184" t="s">
        <v>46</v>
      </c>
      <c r="D3" s="185">
        <v>8</v>
      </c>
      <c r="E3" s="186">
        <v>10080</v>
      </c>
      <c r="F3" s="187">
        <v>500</v>
      </c>
      <c r="G3" s="188">
        <v>3</v>
      </c>
      <c r="H3" s="424" t="s">
        <v>82</v>
      </c>
      <c r="I3" s="64">
        <v>3.9200683466949235</v>
      </c>
      <c r="J3" s="27">
        <v>3.708324592954459</v>
      </c>
      <c r="K3" s="27">
        <v>4.8117506898117748</v>
      </c>
      <c r="L3" s="27">
        <v>4.4965008523286389</v>
      </c>
      <c r="M3" s="27">
        <v>3.6975487129237368</v>
      </c>
      <c r="N3" s="27">
        <v>4.2435959515496258</v>
      </c>
      <c r="O3" s="65">
        <v>4.5579610423652008</v>
      </c>
      <c r="P3" s="261">
        <v>4.2051069999999999</v>
      </c>
      <c r="Q3" s="450">
        <v>3.8737010000000001</v>
      </c>
      <c r="R3" s="446">
        <v>4.2761370000000003</v>
      </c>
      <c r="S3" s="359">
        <v>5</v>
      </c>
      <c r="T3" s="124">
        <f>(0/7)*100</f>
        <v>0</v>
      </c>
      <c r="U3" s="432">
        <f>(0/21)*100</f>
        <v>0</v>
      </c>
      <c r="V3" s="429">
        <f>(8/63)*100</f>
        <v>12.698412698412698</v>
      </c>
    </row>
    <row r="4" spans="1:22" x14ac:dyDescent="0.2">
      <c r="A4" s="189" t="s">
        <v>6</v>
      </c>
      <c r="B4" s="190" t="s">
        <v>9</v>
      </c>
      <c r="C4" s="190" t="s">
        <v>46</v>
      </c>
      <c r="D4" s="191">
        <v>8</v>
      </c>
      <c r="E4" s="192">
        <v>20080</v>
      </c>
      <c r="F4" s="181">
        <v>926</v>
      </c>
      <c r="G4" s="193">
        <v>6</v>
      </c>
      <c r="H4" s="425"/>
      <c r="I4" s="66">
        <v>3.9734268674835391</v>
      </c>
      <c r="J4" s="28">
        <v>4.060419021263268</v>
      </c>
      <c r="K4" s="28">
        <v>3.2985808182412311</v>
      </c>
      <c r="L4" s="28">
        <v>4.124613195547302</v>
      </c>
      <c r="M4" s="28">
        <v>3.4307931965468086</v>
      </c>
      <c r="N4" s="28">
        <v>4.0746295741223877</v>
      </c>
      <c r="O4" s="67">
        <v>4.093186997520422</v>
      </c>
      <c r="P4" s="276">
        <v>3.8650929999999999</v>
      </c>
      <c r="Q4" s="451"/>
      <c r="R4" s="423"/>
      <c r="S4" s="360"/>
      <c r="T4" s="124">
        <f>(0/7)*100</f>
        <v>0</v>
      </c>
      <c r="U4" s="433"/>
      <c r="V4" s="430"/>
    </row>
    <row r="5" spans="1:22" x14ac:dyDescent="0.2">
      <c r="A5" s="194" t="s">
        <v>6</v>
      </c>
      <c r="B5" s="195" t="s">
        <v>9</v>
      </c>
      <c r="C5" s="195" t="s">
        <v>46</v>
      </c>
      <c r="D5" s="196">
        <v>8</v>
      </c>
      <c r="E5" s="197">
        <v>30080</v>
      </c>
      <c r="F5" s="198">
        <v>3704</v>
      </c>
      <c r="G5" s="199">
        <v>13</v>
      </c>
      <c r="H5" s="425"/>
      <c r="I5" s="66">
        <v>3.9255634477625918</v>
      </c>
      <c r="J5" s="28">
        <v>3.9261084682716025</v>
      </c>
      <c r="K5" s="28">
        <v>3.5041761100983333</v>
      </c>
      <c r="L5" s="28">
        <v>3.5893163451654164</v>
      </c>
      <c r="M5" s="28">
        <v>2.646049865307023</v>
      </c>
      <c r="N5" s="28">
        <v>3.6196599847594633</v>
      </c>
      <c r="O5" s="67">
        <v>3.6454413721679866</v>
      </c>
      <c r="P5" s="276">
        <v>3.5509019999999998</v>
      </c>
      <c r="Q5" s="451"/>
      <c r="R5" s="423"/>
      <c r="S5" s="360"/>
      <c r="T5" s="124">
        <f>(0/7)*100</f>
        <v>0</v>
      </c>
      <c r="U5" s="434"/>
      <c r="V5" s="430"/>
    </row>
    <row r="6" spans="1:22" x14ac:dyDescent="0.2">
      <c r="A6" s="183" t="s">
        <v>6</v>
      </c>
      <c r="B6" s="184" t="s">
        <v>12</v>
      </c>
      <c r="C6" s="184" t="s">
        <v>47</v>
      </c>
      <c r="D6" s="185">
        <v>24</v>
      </c>
      <c r="E6" s="186">
        <v>10240</v>
      </c>
      <c r="F6" s="187">
        <v>500</v>
      </c>
      <c r="G6" s="200">
        <v>4</v>
      </c>
      <c r="H6" s="425"/>
      <c r="I6" s="66">
        <v>4.371476296558451</v>
      </c>
      <c r="J6" s="28">
        <v>4.257391743924603</v>
      </c>
      <c r="K6" s="28">
        <v>4.7218197638825288</v>
      </c>
      <c r="L6" s="28">
        <v>4.726865464912299</v>
      </c>
      <c r="M6" s="28">
        <v>5.485363695649137</v>
      </c>
      <c r="N6" s="28">
        <v>5.5568864328701775</v>
      </c>
      <c r="O6" s="67">
        <v>4.4398636442030694</v>
      </c>
      <c r="P6" s="261">
        <v>4.794238</v>
      </c>
      <c r="Q6" s="442">
        <v>4.6604669999999997</v>
      </c>
      <c r="R6" s="423"/>
      <c r="S6" s="360"/>
      <c r="T6" s="124">
        <f>(2/7)*100</f>
        <v>28.571428571428569</v>
      </c>
      <c r="U6" s="432">
        <f>(5/21)*100</f>
        <v>23.809523809523807</v>
      </c>
      <c r="V6" s="430"/>
    </row>
    <row r="7" spans="1:22" x14ac:dyDescent="0.2">
      <c r="A7" s="189" t="s">
        <v>6</v>
      </c>
      <c r="B7" s="190" t="s">
        <v>12</v>
      </c>
      <c r="C7" s="190" t="s">
        <v>47</v>
      </c>
      <c r="D7" s="191">
        <v>24</v>
      </c>
      <c r="E7" s="192">
        <v>20240</v>
      </c>
      <c r="F7" s="181">
        <v>926</v>
      </c>
      <c r="G7" s="201">
        <v>7</v>
      </c>
      <c r="H7" s="425"/>
      <c r="I7" s="66">
        <v>4.379179822144887</v>
      </c>
      <c r="J7" s="28">
        <v>4.3704957192779892</v>
      </c>
      <c r="K7" s="28">
        <v>4.7770695582784413</v>
      </c>
      <c r="L7" s="28">
        <v>4.488835129622629</v>
      </c>
      <c r="M7" s="28">
        <v>5.2897747707587408</v>
      </c>
      <c r="N7" s="28">
        <v>5.583282989530673</v>
      </c>
      <c r="O7" s="67">
        <v>4.5014814219958827</v>
      </c>
      <c r="P7" s="261">
        <v>4.7700170000000002</v>
      </c>
      <c r="Q7" s="443"/>
      <c r="R7" s="423"/>
      <c r="S7" s="360"/>
      <c r="T7" s="124">
        <f>(2/7)*100</f>
        <v>28.571428571428569</v>
      </c>
      <c r="U7" s="433"/>
      <c r="V7" s="430"/>
    </row>
    <row r="8" spans="1:22" x14ac:dyDescent="0.2">
      <c r="A8" s="194" t="s">
        <v>6</v>
      </c>
      <c r="B8" s="195" t="s">
        <v>12</v>
      </c>
      <c r="C8" s="195" t="s">
        <v>47</v>
      </c>
      <c r="D8" s="196">
        <v>24</v>
      </c>
      <c r="E8" s="197">
        <v>30240</v>
      </c>
      <c r="F8" s="198">
        <v>3704</v>
      </c>
      <c r="G8" s="199">
        <v>15</v>
      </c>
      <c r="H8" s="425"/>
      <c r="I8" s="66">
        <v>4.2381121998394446</v>
      </c>
      <c r="J8" s="28">
        <v>4.0784122792794593</v>
      </c>
      <c r="K8" s="28">
        <v>4.6552189043219361</v>
      </c>
      <c r="L8" s="28">
        <v>4.4207914889252047</v>
      </c>
      <c r="M8" s="28">
        <v>3.3637922766697947</v>
      </c>
      <c r="N8" s="28">
        <v>5.7383543957130705</v>
      </c>
      <c r="O8" s="67">
        <v>4.4253274946946508</v>
      </c>
      <c r="P8" s="261">
        <v>4.4171440000000004</v>
      </c>
      <c r="Q8" s="443"/>
      <c r="R8" s="423"/>
      <c r="S8" s="360"/>
      <c r="T8" s="124">
        <f>(1/7)*100</f>
        <v>14.285714285714285</v>
      </c>
      <c r="U8" s="434"/>
      <c r="V8" s="430"/>
    </row>
    <row r="9" spans="1:22" x14ac:dyDescent="0.2">
      <c r="A9" s="183" t="s">
        <v>6</v>
      </c>
      <c r="B9" s="202" t="s">
        <v>13</v>
      </c>
      <c r="C9" s="184" t="s">
        <v>48</v>
      </c>
      <c r="D9" s="185">
        <v>40</v>
      </c>
      <c r="E9" s="186">
        <v>10400</v>
      </c>
      <c r="F9" s="187">
        <v>500</v>
      </c>
      <c r="G9" s="200">
        <v>3</v>
      </c>
      <c r="H9" s="425"/>
      <c r="I9" s="66">
        <v>3.9336373405449652</v>
      </c>
      <c r="J9" s="28">
        <v>4.2401665557603483</v>
      </c>
      <c r="K9" s="28">
        <v>5.0055130553567748</v>
      </c>
      <c r="L9" s="28">
        <v>4.7201264795297222</v>
      </c>
      <c r="M9" s="28">
        <v>5.2352788906531664</v>
      </c>
      <c r="N9" s="28">
        <v>3.7555416146239713</v>
      </c>
      <c r="O9" s="67">
        <v>4.9163767258865532</v>
      </c>
      <c r="P9" s="261">
        <v>4.543806</v>
      </c>
      <c r="Q9" s="442">
        <v>4.2942429999999998</v>
      </c>
      <c r="R9" s="423"/>
      <c r="S9" s="360"/>
      <c r="T9" s="124">
        <f>(2/7)*100</f>
        <v>28.571428571428569</v>
      </c>
      <c r="U9" s="432">
        <f>(3/21)*100</f>
        <v>14.285714285714285</v>
      </c>
      <c r="V9" s="430"/>
    </row>
    <row r="10" spans="1:22" x14ac:dyDescent="0.2">
      <c r="A10" s="189" t="s">
        <v>6</v>
      </c>
      <c r="B10" s="203" t="s">
        <v>13</v>
      </c>
      <c r="C10" s="190" t="s">
        <v>48</v>
      </c>
      <c r="D10" s="191">
        <v>40</v>
      </c>
      <c r="E10" s="192">
        <v>20400</v>
      </c>
      <c r="F10" s="181">
        <v>926</v>
      </c>
      <c r="G10" s="201">
        <v>7</v>
      </c>
      <c r="H10" s="425"/>
      <c r="I10" s="66">
        <v>3.7163858203635725</v>
      </c>
      <c r="J10" s="28">
        <v>4.0803570885060809</v>
      </c>
      <c r="K10" s="28">
        <v>4.5613372822793314</v>
      </c>
      <c r="L10" s="28">
        <v>4.2164566717705823</v>
      </c>
      <c r="M10" s="28">
        <v>5.4540093033834749</v>
      </c>
      <c r="N10" s="28">
        <v>4.3492528257038154</v>
      </c>
      <c r="O10" s="67">
        <v>4.6504577704362573</v>
      </c>
      <c r="P10" s="261">
        <v>4.4326080000000001</v>
      </c>
      <c r="Q10" s="443"/>
      <c r="R10" s="423"/>
      <c r="S10" s="360"/>
      <c r="T10" s="124">
        <f>(1/7)*100</f>
        <v>14.285714285714285</v>
      </c>
      <c r="U10" s="433"/>
      <c r="V10" s="430"/>
    </row>
    <row r="11" spans="1:22" x14ac:dyDescent="0.2">
      <c r="A11" s="194" t="s">
        <v>6</v>
      </c>
      <c r="B11" s="204" t="s">
        <v>13</v>
      </c>
      <c r="C11" s="195" t="s">
        <v>48</v>
      </c>
      <c r="D11" s="196">
        <v>40</v>
      </c>
      <c r="E11" s="197">
        <v>30400</v>
      </c>
      <c r="F11" s="198">
        <v>3704</v>
      </c>
      <c r="G11" s="199">
        <v>13</v>
      </c>
      <c r="H11" s="426"/>
      <c r="I11" s="68">
        <v>3.2782110696913866</v>
      </c>
      <c r="J11" s="29">
        <v>3.9095519135027201</v>
      </c>
      <c r="K11" s="29">
        <v>4.2251677322475487</v>
      </c>
      <c r="L11" s="29">
        <v>3.9059188033015442</v>
      </c>
      <c r="M11" s="29">
        <v>3.7826737366767071</v>
      </c>
      <c r="N11" s="29">
        <v>3.9457014189856054</v>
      </c>
      <c r="O11" s="69">
        <v>4.2969829974409945</v>
      </c>
      <c r="P11" s="276">
        <v>3.9063150000000002</v>
      </c>
      <c r="Q11" s="443"/>
      <c r="R11" s="423"/>
      <c r="S11" s="361"/>
      <c r="T11" s="124">
        <f>(0/7)*100</f>
        <v>0</v>
      </c>
      <c r="U11" s="434"/>
      <c r="V11" s="431"/>
    </row>
    <row r="12" spans="1:22" x14ac:dyDescent="0.2">
      <c r="A12" s="183" t="s">
        <v>6</v>
      </c>
      <c r="B12" s="205" t="s">
        <v>50</v>
      </c>
      <c r="C12" s="205" t="s">
        <v>51</v>
      </c>
      <c r="D12" s="185">
        <v>53</v>
      </c>
      <c r="E12" s="186">
        <v>10530</v>
      </c>
      <c r="F12" s="187">
        <v>500</v>
      </c>
      <c r="G12" s="200">
        <v>6.5</v>
      </c>
      <c r="H12" s="424" t="s">
        <v>83</v>
      </c>
      <c r="I12" s="64">
        <v>3.7257786305155092</v>
      </c>
      <c r="J12" s="27">
        <v>4.2495837282424116</v>
      </c>
      <c r="K12" s="27">
        <v>4.8870523245834363</v>
      </c>
      <c r="L12" s="27">
        <v>4.1388557095742264</v>
      </c>
      <c r="M12" s="27">
        <v>3.8157367109389004</v>
      </c>
      <c r="N12" s="27">
        <v>4.3087280925279394</v>
      </c>
      <c r="O12" s="65">
        <v>4.8654165283593747</v>
      </c>
      <c r="P12" s="261">
        <v>4.2844499999999996</v>
      </c>
      <c r="Q12" s="442">
        <v>4.4250090000000002</v>
      </c>
      <c r="R12" s="446">
        <v>4.4302549999999998</v>
      </c>
      <c r="S12" s="359">
        <v>5</v>
      </c>
      <c r="T12" s="124">
        <f>(0/7)*100</f>
        <v>0</v>
      </c>
      <c r="U12" s="432">
        <f>(3/21)*100</f>
        <v>14.285714285714285</v>
      </c>
      <c r="V12" s="429">
        <f>(8/42)*100</f>
        <v>19.047619047619047</v>
      </c>
    </row>
    <row r="13" spans="1:22" x14ac:dyDescent="0.2">
      <c r="A13" s="189" t="s">
        <v>6</v>
      </c>
      <c r="B13" s="206" t="s">
        <v>50</v>
      </c>
      <c r="C13" s="206" t="s">
        <v>51</v>
      </c>
      <c r="D13" s="191">
        <v>53</v>
      </c>
      <c r="E13" s="192">
        <v>20530</v>
      </c>
      <c r="F13" s="181">
        <v>926</v>
      </c>
      <c r="G13" s="201">
        <v>7</v>
      </c>
      <c r="H13" s="425"/>
      <c r="I13" s="66">
        <v>3.6116155547732731</v>
      </c>
      <c r="J13" s="28">
        <v>4.6336415985543136</v>
      </c>
      <c r="K13" s="28">
        <v>4.5507882787689402</v>
      </c>
      <c r="L13" s="28">
        <v>4.4748463520779183</v>
      </c>
      <c r="M13" s="28">
        <v>3.8182802606955391</v>
      </c>
      <c r="N13" s="28">
        <v>4.6765302826120205</v>
      </c>
      <c r="O13" s="67">
        <v>5.6433679332631499</v>
      </c>
      <c r="P13" s="261">
        <v>4.4870099999999997</v>
      </c>
      <c r="Q13" s="443"/>
      <c r="R13" s="423"/>
      <c r="S13" s="360"/>
      <c r="T13" s="124">
        <f>(1/7)*100</f>
        <v>14.285714285714285</v>
      </c>
      <c r="U13" s="433"/>
      <c r="V13" s="430"/>
    </row>
    <row r="14" spans="1:22" x14ac:dyDescent="0.2">
      <c r="A14" s="194" t="s">
        <v>6</v>
      </c>
      <c r="B14" s="207" t="s">
        <v>50</v>
      </c>
      <c r="C14" s="207" t="s">
        <v>51</v>
      </c>
      <c r="D14" s="196">
        <v>53</v>
      </c>
      <c r="E14" s="197">
        <v>30530</v>
      </c>
      <c r="F14" s="198">
        <v>3704</v>
      </c>
      <c r="G14" s="199">
        <v>14</v>
      </c>
      <c r="H14" s="425"/>
      <c r="I14" s="66">
        <v>3.8565078198444813</v>
      </c>
      <c r="J14" s="28">
        <v>4.2788232041188845</v>
      </c>
      <c r="K14" s="28">
        <v>4.5015601305462223</v>
      </c>
      <c r="L14" s="28">
        <v>4.515708189539394</v>
      </c>
      <c r="M14" s="28">
        <v>3.7749841256108558</v>
      </c>
      <c r="N14" s="28">
        <v>5.1485018610251805</v>
      </c>
      <c r="O14" s="67">
        <v>5.4488910066415066</v>
      </c>
      <c r="P14" s="261">
        <v>4.5035679999999996</v>
      </c>
      <c r="Q14" s="443"/>
      <c r="R14" s="423"/>
      <c r="S14" s="360"/>
      <c r="T14" s="124">
        <f>(2/7)*100</f>
        <v>28.571428571428569</v>
      </c>
      <c r="U14" s="434"/>
      <c r="V14" s="430"/>
    </row>
    <row r="15" spans="1:22" x14ac:dyDescent="0.2">
      <c r="A15" s="183" t="s">
        <v>6</v>
      </c>
      <c r="B15" s="205" t="s">
        <v>49</v>
      </c>
      <c r="C15" s="205" t="s">
        <v>52</v>
      </c>
      <c r="D15" s="185">
        <v>56</v>
      </c>
      <c r="E15" s="186">
        <v>10560</v>
      </c>
      <c r="F15" s="187">
        <v>500</v>
      </c>
      <c r="G15" s="200">
        <v>3.5</v>
      </c>
      <c r="H15" s="425"/>
      <c r="I15" s="66">
        <v>2.5562529486015779</v>
      </c>
      <c r="J15" s="28">
        <v>4.502790381475724</v>
      </c>
      <c r="K15" s="28">
        <v>4.5755600881571752</v>
      </c>
      <c r="L15" s="28">
        <v>4.3770833262439304</v>
      </c>
      <c r="M15" s="28">
        <v>4.1433587704793684</v>
      </c>
      <c r="N15" s="28">
        <v>4.5855837659140173</v>
      </c>
      <c r="O15" s="67">
        <v>5.0990693282954016</v>
      </c>
      <c r="P15" s="261">
        <v>4.2628139999999997</v>
      </c>
      <c r="Q15" s="442">
        <v>4.4355000000000002</v>
      </c>
      <c r="R15" s="423"/>
      <c r="S15" s="360"/>
      <c r="T15" s="124">
        <f>(1/7)*100</f>
        <v>14.285714285714285</v>
      </c>
      <c r="U15" s="432">
        <f>(5/21)*100</f>
        <v>23.809523809523807</v>
      </c>
      <c r="V15" s="430"/>
    </row>
    <row r="16" spans="1:22" x14ac:dyDescent="0.2">
      <c r="A16" s="189" t="s">
        <v>6</v>
      </c>
      <c r="B16" s="206" t="s">
        <v>49</v>
      </c>
      <c r="C16" s="206" t="s">
        <v>52</v>
      </c>
      <c r="D16" s="191">
        <v>56</v>
      </c>
      <c r="E16" s="181">
        <v>20560</v>
      </c>
      <c r="F16" s="181">
        <v>926</v>
      </c>
      <c r="G16" s="201">
        <v>5</v>
      </c>
      <c r="H16" s="425"/>
      <c r="I16" s="66">
        <v>2.7801084373833072</v>
      </c>
      <c r="J16" s="28">
        <v>4.6210368263796413</v>
      </c>
      <c r="K16" s="28">
        <v>4.885600052338301</v>
      </c>
      <c r="L16" s="28">
        <v>4.7204808546818064</v>
      </c>
      <c r="M16" s="28">
        <v>4.2863258855743647</v>
      </c>
      <c r="N16" s="28">
        <v>5.2430051921055156</v>
      </c>
      <c r="O16" s="67">
        <v>5.261789999024419</v>
      </c>
      <c r="P16" s="261">
        <v>4.5426209999999996</v>
      </c>
      <c r="Q16" s="443"/>
      <c r="R16" s="423"/>
      <c r="S16" s="360"/>
      <c r="T16" s="124">
        <f>(2/7)*100</f>
        <v>28.571428571428569</v>
      </c>
      <c r="U16" s="433"/>
      <c r="V16" s="430"/>
    </row>
    <row r="17" spans="1:22" x14ac:dyDescent="0.2">
      <c r="A17" s="194" t="s">
        <v>6</v>
      </c>
      <c r="B17" s="207" t="s">
        <v>49</v>
      </c>
      <c r="C17" s="207" t="s">
        <v>52</v>
      </c>
      <c r="D17" s="196">
        <v>56</v>
      </c>
      <c r="E17" s="198">
        <v>30560</v>
      </c>
      <c r="F17" s="198">
        <v>3704</v>
      </c>
      <c r="G17" s="199">
        <v>16</v>
      </c>
      <c r="H17" s="426"/>
      <c r="I17" s="68">
        <v>2.8340802880724323</v>
      </c>
      <c r="J17" s="29">
        <v>4.4503005374206799</v>
      </c>
      <c r="K17" s="29">
        <v>4.2673001917271876</v>
      </c>
      <c r="L17" s="29">
        <v>4.3217396666106769</v>
      </c>
      <c r="M17" s="29">
        <v>4.6107186986305662</v>
      </c>
      <c r="N17" s="29">
        <v>5.6550127543619739</v>
      </c>
      <c r="O17" s="69">
        <v>5.3683056972739243</v>
      </c>
      <c r="P17" s="261">
        <v>4.5010649999999996</v>
      </c>
      <c r="Q17" s="443"/>
      <c r="R17" s="423"/>
      <c r="S17" s="361"/>
      <c r="T17" s="124">
        <f>(2/7)*100</f>
        <v>28.571428571428569</v>
      </c>
      <c r="U17" s="434"/>
      <c r="V17" s="431"/>
    </row>
    <row r="18" spans="1:22" x14ac:dyDescent="0.2">
      <c r="A18" s="183" t="s">
        <v>6</v>
      </c>
      <c r="B18" s="205" t="s">
        <v>16</v>
      </c>
      <c r="C18" s="205" t="s">
        <v>53</v>
      </c>
      <c r="D18" s="185">
        <v>64</v>
      </c>
      <c r="E18" s="187">
        <v>10640</v>
      </c>
      <c r="F18" s="187">
        <v>500</v>
      </c>
      <c r="G18" s="200">
        <v>6</v>
      </c>
      <c r="H18" s="424" t="s">
        <v>88</v>
      </c>
      <c r="I18" s="64">
        <v>4.4220953123333917</v>
      </c>
      <c r="J18" s="27">
        <v>4.3199848941003296</v>
      </c>
      <c r="K18" s="27">
        <v>5.8669438922876962</v>
      </c>
      <c r="L18" s="27">
        <v>6.6726525350319461</v>
      </c>
      <c r="M18" s="27">
        <v>5.7678593215142673</v>
      </c>
      <c r="N18" s="27">
        <v>5.6117912448903846</v>
      </c>
      <c r="O18" s="65">
        <v>5.6329803308501827</v>
      </c>
      <c r="P18" s="260">
        <v>5.4706149999999996</v>
      </c>
      <c r="Q18" s="440">
        <v>5.2911549999999998</v>
      </c>
      <c r="R18" s="444">
        <v>5.5412100000000004</v>
      </c>
      <c r="S18" s="359">
        <v>5</v>
      </c>
      <c r="T18" s="124">
        <f>(5/7)*100</f>
        <v>71.428571428571431</v>
      </c>
      <c r="U18" s="432">
        <f>(15/21)*100</f>
        <v>71.428571428571431</v>
      </c>
      <c r="V18" s="429">
        <f>(32/42)*100</f>
        <v>76.19047619047619</v>
      </c>
    </row>
    <row r="19" spans="1:22" x14ac:dyDescent="0.2">
      <c r="A19" s="189" t="s">
        <v>6</v>
      </c>
      <c r="B19" s="206" t="s">
        <v>16</v>
      </c>
      <c r="C19" s="206" t="s">
        <v>53</v>
      </c>
      <c r="D19" s="191">
        <v>64</v>
      </c>
      <c r="E19" s="181">
        <v>20640</v>
      </c>
      <c r="F19" s="181">
        <v>926</v>
      </c>
      <c r="G19" s="201">
        <v>10</v>
      </c>
      <c r="H19" s="425"/>
      <c r="I19" s="66">
        <v>4.5643421910373281</v>
      </c>
      <c r="J19" s="28">
        <v>4.2707958276036457</v>
      </c>
      <c r="K19" s="28">
        <v>5.7465165787406116</v>
      </c>
      <c r="L19" s="28">
        <v>6.1950398719647151</v>
      </c>
      <c r="M19" s="28">
        <v>5.9970018533225176</v>
      </c>
      <c r="N19" s="28">
        <v>5.6395549491007726</v>
      </c>
      <c r="O19" s="67">
        <v>5.83046122614995</v>
      </c>
      <c r="P19" s="260">
        <v>5.463387</v>
      </c>
      <c r="Q19" s="441"/>
      <c r="R19" s="445"/>
      <c r="S19" s="360"/>
      <c r="T19" s="124">
        <f>(5/7)*100</f>
        <v>71.428571428571431</v>
      </c>
      <c r="U19" s="433"/>
      <c r="V19" s="430"/>
    </row>
    <row r="20" spans="1:22" x14ac:dyDescent="0.2">
      <c r="A20" s="194" t="s">
        <v>6</v>
      </c>
      <c r="B20" s="207" t="s">
        <v>16</v>
      </c>
      <c r="C20" s="207" t="s">
        <v>53</v>
      </c>
      <c r="D20" s="196">
        <v>64</v>
      </c>
      <c r="E20" s="198">
        <v>30640</v>
      </c>
      <c r="F20" s="198">
        <v>3704</v>
      </c>
      <c r="G20" s="199">
        <v>19</v>
      </c>
      <c r="H20" s="425"/>
      <c r="I20" s="66">
        <v>2.0355076267288847</v>
      </c>
      <c r="J20" s="28">
        <v>5.4108123962283479</v>
      </c>
      <c r="K20" s="28">
        <v>5.8425584519758358</v>
      </c>
      <c r="L20" s="28">
        <v>5.8439839340623916</v>
      </c>
      <c r="M20" s="28">
        <v>6.2159365813345993</v>
      </c>
      <c r="N20" s="28">
        <v>5.9989531916263807</v>
      </c>
      <c r="O20" s="67">
        <v>3.2284851724172126</v>
      </c>
      <c r="P20" s="261">
        <v>4.9394629999999999</v>
      </c>
      <c r="Q20" s="441"/>
      <c r="R20" s="445"/>
      <c r="S20" s="360"/>
      <c r="T20" s="124">
        <f>(5/7)*100</f>
        <v>71.428571428571431</v>
      </c>
      <c r="U20" s="434"/>
      <c r="V20" s="430"/>
    </row>
    <row r="21" spans="1:22" x14ac:dyDescent="0.2">
      <c r="A21" s="183" t="s">
        <v>19</v>
      </c>
      <c r="B21" s="205" t="s">
        <v>20</v>
      </c>
      <c r="C21" s="205" t="s">
        <v>54</v>
      </c>
      <c r="D21" s="185">
        <v>72</v>
      </c>
      <c r="E21" s="187">
        <v>10720</v>
      </c>
      <c r="F21" s="187">
        <v>500</v>
      </c>
      <c r="G21" s="200">
        <v>3</v>
      </c>
      <c r="H21" s="425"/>
      <c r="I21" s="66">
        <v>3.6790595277110758</v>
      </c>
      <c r="J21" s="28">
        <v>6.5008942066214077</v>
      </c>
      <c r="K21" s="28">
        <v>6.3711627398907771</v>
      </c>
      <c r="L21" s="28">
        <v>5.7118887066286606</v>
      </c>
      <c r="M21" s="28">
        <v>6.1671727746801901</v>
      </c>
      <c r="N21" s="28">
        <v>5.869181983423494</v>
      </c>
      <c r="O21" s="67">
        <v>4.7724111134457292</v>
      </c>
      <c r="P21" s="260">
        <v>5.5816819999999998</v>
      </c>
      <c r="Q21" s="440">
        <v>5.7912650000000001</v>
      </c>
      <c r="R21" s="445"/>
      <c r="S21" s="360"/>
      <c r="T21" s="124">
        <f>(5/7)*100</f>
        <v>71.428571428571431</v>
      </c>
      <c r="U21" s="432">
        <f>(17/21)*100</f>
        <v>80.952380952380949</v>
      </c>
      <c r="V21" s="430"/>
    </row>
    <row r="22" spans="1:22" x14ac:dyDescent="0.2">
      <c r="A22" s="189" t="s">
        <v>19</v>
      </c>
      <c r="B22" s="206" t="s">
        <v>20</v>
      </c>
      <c r="C22" s="206" t="s">
        <v>54</v>
      </c>
      <c r="D22" s="191">
        <v>72</v>
      </c>
      <c r="E22" s="181">
        <v>20720</v>
      </c>
      <c r="F22" s="181">
        <v>926</v>
      </c>
      <c r="G22" s="201">
        <v>6</v>
      </c>
      <c r="H22" s="425"/>
      <c r="I22" s="66">
        <v>4.2630787203373206</v>
      </c>
      <c r="J22" s="28">
        <v>6.7441817593163869</v>
      </c>
      <c r="K22" s="28">
        <v>6.6011943897671035</v>
      </c>
      <c r="L22" s="28">
        <v>5.5857766963345581</v>
      </c>
      <c r="M22" s="28">
        <v>6.5102735104180587</v>
      </c>
      <c r="N22" s="28">
        <v>6.1355523915144801</v>
      </c>
      <c r="O22" s="67">
        <v>6.5404775862907307</v>
      </c>
      <c r="P22" s="277">
        <v>6.0543620000000002</v>
      </c>
      <c r="Q22" s="441"/>
      <c r="R22" s="445"/>
      <c r="S22" s="360"/>
      <c r="T22" s="124">
        <f>(6/7)*100</f>
        <v>85.714285714285708</v>
      </c>
      <c r="U22" s="433"/>
      <c r="V22" s="430"/>
    </row>
    <row r="23" spans="1:22" x14ac:dyDescent="0.2">
      <c r="A23" s="194" t="s">
        <v>19</v>
      </c>
      <c r="B23" s="207" t="s">
        <v>20</v>
      </c>
      <c r="C23" s="207" t="s">
        <v>54</v>
      </c>
      <c r="D23" s="196">
        <v>72</v>
      </c>
      <c r="E23" s="198">
        <v>30720</v>
      </c>
      <c r="F23" s="198">
        <v>3704</v>
      </c>
      <c r="G23" s="199">
        <v>14</v>
      </c>
      <c r="H23" s="426"/>
      <c r="I23" s="68">
        <v>4.7306938213496643</v>
      </c>
      <c r="J23" s="29">
        <v>5.3316184261004667</v>
      </c>
      <c r="K23" s="29">
        <v>6.6133646022026173</v>
      </c>
      <c r="L23" s="29">
        <v>5.2018093716899552</v>
      </c>
      <c r="M23" s="29">
        <v>5.9980436238563657</v>
      </c>
      <c r="N23" s="29">
        <v>6.3424606675062734</v>
      </c>
      <c r="O23" s="69">
        <v>5.9462784866710514</v>
      </c>
      <c r="P23" s="260">
        <v>5.7377529999999997</v>
      </c>
      <c r="Q23" s="441"/>
      <c r="R23" s="445"/>
      <c r="S23" s="361"/>
      <c r="T23" s="124">
        <f>(6/7)*100</f>
        <v>85.714285714285708</v>
      </c>
      <c r="U23" s="434"/>
      <c r="V23" s="431"/>
    </row>
    <row r="24" spans="1:22" x14ac:dyDescent="0.2">
      <c r="A24" s="183" t="s">
        <v>19</v>
      </c>
      <c r="B24" s="208" t="s">
        <v>24</v>
      </c>
      <c r="C24" s="208" t="s">
        <v>25</v>
      </c>
      <c r="D24" s="185">
        <v>601</v>
      </c>
      <c r="E24" s="209">
        <v>16010</v>
      </c>
      <c r="F24" s="187">
        <v>500</v>
      </c>
      <c r="G24" s="200">
        <v>6</v>
      </c>
      <c r="H24" s="424" t="s">
        <v>84</v>
      </c>
      <c r="I24" s="64">
        <v>5.3067353510868474</v>
      </c>
      <c r="J24" s="27">
        <v>5.4633971831788894</v>
      </c>
      <c r="K24" s="27">
        <v>7.1863484810070588</v>
      </c>
      <c r="L24" s="27">
        <v>6.7309304583662994</v>
      </c>
      <c r="M24" s="27">
        <v>6.2769982708398482</v>
      </c>
      <c r="N24" s="27">
        <v>6.74653518681572</v>
      </c>
      <c r="O24" s="65">
        <v>6.0627142231854716</v>
      </c>
      <c r="P24" s="277">
        <v>6.2533799999999999</v>
      </c>
      <c r="Q24" s="464">
        <v>6.0673659999999998</v>
      </c>
      <c r="R24" s="444">
        <v>5.9184070000000002</v>
      </c>
      <c r="S24" s="359">
        <v>5</v>
      </c>
      <c r="T24" s="124">
        <f>(7/7)*100</f>
        <v>100</v>
      </c>
      <c r="U24" s="432">
        <f>(20/21)*100</f>
        <v>95.238095238095227</v>
      </c>
      <c r="V24" s="429">
        <f>(38/42)*100</f>
        <v>90.476190476190482</v>
      </c>
    </row>
    <row r="25" spans="1:22" x14ac:dyDescent="0.2">
      <c r="A25" s="189" t="s">
        <v>19</v>
      </c>
      <c r="B25" s="182" t="s">
        <v>24</v>
      </c>
      <c r="C25" s="182" t="s">
        <v>25</v>
      </c>
      <c r="D25" s="191">
        <v>601</v>
      </c>
      <c r="E25" s="210">
        <v>26010</v>
      </c>
      <c r="F25" s="181">
        <v>926</v>
      </c>
      <c r="G25" s="201">
        <v>16</v>
      </c>
      <c r="H25" s="425"/>
      <c r="I25" s="66">
        <v>5.4743283893632695</v>
      </c>
      <c r="J25" s="28">
        <v>5.3589460523114667</v>
      </c>
      <c r="K25" s="28">
        <v>6.55319449954494</v>
      </c>
      <c r="L25" s="28">
        <v>5.9514490901873618</v>
      </c>
      <c r="M25" s="28">
        <v>5.5437439676632962</v>
      </c>
      <c r="N25" s="28">
        <v>7.0156016684493823</v>
      </c>
      <c r="O25" s="67">
        <v>5.9172481840188169</v>
      </c>
      <c r="P25" s="260">
        <v>5.9735019999999999</v>
      </c>
      <c r="Q25" s="465"/>
      <c r="R25" s="445"/>
      <c r="S25" s="360"/>
      <c r="T25" s="124">
        <f>(7/7)*100</f>
        <v>100</v>
      </c>
      <c r="U25" s="433"/>
      <c r="V25" s="430"/>
    </row>
    <row r="26" spans="1:22" x14ac:dyDescent="0.2">
      <c r="A26" s="194" t="s">
        <v>19</v>
      </c>
      <c r="B26" s="211" t="s">
        <v>24</v>
      </c>
      <c r="C26" s="211" t="s">
        <v>25</v>
      </c>
      <c r="D26" s="196">
        <v>601</v>
      </c>
      <c r="E26" s="212">
        <v>36010</v>
      </c>
      <c r="F26" s="198">
        <v>3704</v>
      </c>
      <c r="G26" s="199">
        <v>27</v>
      </c>
      <c r="H26" s="425"/>
      <c r="I26" s="66">
        <v>4.5334828195659851</v>
      </c>
      <c r="J26" s="28">
        <v>5.3188396811156986</v>
      </c>
      <c r="K26" s="28">
        <v>6.6758913398071318</v>
      </c>
      <c r="L26" s="28">
        <v>6.1386063109947973</v>
      </c>
      <c r="M26" s="28">
        <v>5.7974729225864108</v>
      </c>
      <c r="N26" s="28">
        <v>6.8639426120982412</v>
      </c>
      <c r="O26" s="67">
        <v>6.4982671966215682</v>
      </c>
      <c r="P26" s="260">
        <v>5.9752140000000002</v>
      </c>
      <c r="Q26" s="465"/>
      <c r="R26" s="445"/>
      <c r="S26" s="360"/>
      <c r="T26" s="124">
        <f>(6/7)*100</f>
        <v>85.714285714285708</v>
      </c>
      <c r="U26" s="434"/>
      <c r="V26" s="430"/>
    </row>
    <row r="27" spans="1:22" x14ac:dyDescent="0.2">
      <c r="A27" s="213" t="s">
        <v>19</v>
      </c>
      <c r="B27" s="208" t="s">
        <v>24</v>
      </c>
      <c r="C27" s="208" t="s">
        <v>78</v>
      </c>
      <c r="D27" s="185">
        <v>82</v>
      </c>
      <c r="E27" s="187">
        <v>10820</v>
      </c>
      <c r="F27" s="187">
        <v>500</v>
      </c>
      <c r="G27" s="200">
        <v>5</v>
      </c>
      <c r="H27" s="425"/>
      <c r="I27" s="66">
        <v>4.5736901190346204</v>
      </c>
      <c r="J27" s="28">
        <v>5.4361286934241759</v>
      </c>
      <c r="K27" s="28">
        <v>5.3365066660642571</v>
      </c>
      <c r="L27" s="28">
        <v>5.2924591605419629</v>
      </c>
      <c r="M27" s="28">
        <v>6.5232868323867033</v>
      </c>
      <c r="N27" s="28">
        <v>6.9011673082808969</v>
      </c>
      <c r="O27" s="67">
        <v>5.6247472080700653</v>
      </c>
      <c r="P27" s="260">
        <v>5.6697119999999996</v>
      </c>
      <c r="Q27" s="440">
        <v>5.7694489999999998</v>
      </c>
      <c r="R27" s="445"/>
      <c r="S27" s="360"/>
      <c r="T27" s="124">
        <f>(6/7)*100</f>
        <v>85.714285714285708</v>
      </c>
      <c r="U27" s="432">
        <f>(18/21)*100</f>
        <v>85.714285714285708</v>
      </c>
      <c r="V27" s="430"/>
    </row>
    <row r="28" spans="1:22" x14ac:dyDescent="0.2">
      <c r="A28" s="214" t="s">
        <v>19</v>
      </c>
      <c r="B28" s="182" t="s">
        <v>24</v>
      </c>
      <c r="C28" s="182" t="s">
        <v>78</v>
      </c>
      <c r="D28" s="191">
        <v>82</v>
      </c>
      <c r="E28" s="181">
        <v>20820</v>
      </c>
      <c r="F28" s="181">
        <v>926</v>
      </c>
      <c r="G28" s="201">
        <v>7</v>
      </c>
      <c r="H28" s="425"/>
      <c r="I28" s="66">
        <v>4.411773967803982</v>
      </c>
      <c r="J28" s="28">
        <v>5.5181478769830647</v>
      </c>
      <c r="K28" s="28">
        <v>6.0975735043441635</v>
      </c>
      <c r="L28" s="28">
        <v>5.8056070412179857</v>
      </c>
      <c r="M28" s="28">
        <v>6.7131024621914266</v>
      </c>
      <c r="N28" s="28">
        <v>6.6351093664811325</v>
      </c>
      <c r="O28" s="67">
        <v>6.5333331685781006</v>
      </c>
      <c r="P28" s="260">
        <v>5.9592349999999996</v>
      </c>
      <c r="Q28" s="441"/>
      <c r="R28" s="445"/>
      <c r="S28" s="360"/>
      <c r="T28" s="124">
        <f>(6/7)*100</f>
        <v>85.714285714285708</v>
      </c>
      <c r="U28" s="433"/>
      <c r="V28" s="430"/>
    </row>
    <row r="29" spans="1:22" x14ac:dyDescent="0.2">
      <c r="A29" s="215" t="s">
        <v>19</v>
      </c>
      <c r="B29" s="211" t="s">
        <v>24</v>
      </c>
      <c r="C29" s="211" t="s">
        <v>78</v>
      </c>
      <c r="D29" s="196">
        <v>82</v>
      </c>
      <c r="E29" s="198">
        <v>30820</v>
      </c>
      <c r="F29" s="198">
        <v>3704</v>
      </c>
      <c r="G29" s="199">
        <v>15</v>
      </c>
      <c r="H29" s="426"/>
      <c r="I29" s="68">
        <v>3.0594968194064318</v>
      </c>
      <c r="J29" s="29">
        <v>5.9012928990421081</v>
      </c>
      <c r="K29" s="29">
        <v>5.3608864934756557</v>
      </c>
      <c r="L29" s="29">
        <v>6.1582911018560758</v>
      </c>
      <c r="M29" s="29">
        <v>6.5206510365352468</v>
      </c>
      <c r="N29" s="29">
        <v>6.1925910180772563</v>
      </c>
      <c r="O29" s="69">
        <v>6.5625795809982685</v>
      </c>
      <c r="P29" s="260">
        <v>5.6793990000000001</v>
      </c>
      <c r="Q29" s="441"/>
      <c r="R29" s="445"/>
      <c r="S29" s="361"/>
      <c r="T29" s="124">
        <f>(6/7)*100</f>
        <v>85.714285714285708</v>
      </c>
      <c r="U29" s="434"/>
      <c r="V29" s="431"/>
    </row>
    <row r="30" spans="1:22" ht="15" x14ac:dyDescent="0.2">
      <c r="A30" s="216" t="s">
        <v>6</v>
      </c>
      <c r="B30" s="161" t="s">
        <v>50</v>
      </c>
      <c r="C30" s="161" t="s">
        <v>106</v>
      </c>
      <c r="D30" s="241">
        <v>53</v>
      </c>
      <c r="E30" s="158">
        <v>40530</v>
      </c>
      <c r="F30" s="218">
        <v>8334</v>
      </c>
      <c r="G30" s="219">
        <v>18</v>
      </c>
      <c r="H30" s="222" t="s">
        <v>104</v>
      </c>
      <c r="I30" s="151">
        <v>3.6514081000032323</v>
      </c>
      <c r="J30" s="152">
        <v>4.1251405955895351</v>
      </c>
      <c r="K30" s="152">
        <v>4.0039774933521235</v>
      </c>
      <c r="L30" s="152">
        <v>3.9818417529363481</v>
      </c>
      <c r="M30" s="152">
        <v>3.659363171686425</v>
      </c>
      <c r="N30" s="152">
        <v>4.8227855292434887</v>
      </c>
      <c r="O30" s="147">
        <v>5.414870168808152</v>
      </c>
      <c r="P30" s="261">
        <v>4.2370549999999998</v>
      </c>
      <c r="Q30" s="261">
        <v>4.2370549999999998</v>
      </c>
      <c r="R30" s="237">
        <v>4.2370549999999998</v>
      </c>
      <c r="S30" s="172">
        <v>4.5</v>
      </c>
      <c r="T30" s="124">
        <f>(2/7)*100</f>
        <v>28.571428571428569</v>
      </c>
      <c r="U30" s="124">
        <f>(2/7)*100</f>
        <v>28.571428571428569</v>
      </c>
      <c r="V30" s="145">
        <f>(2/7)*100</f>
        <v>28.571428571428569</v>
      </c>
    </row>
    <row r="31" spans="1:22" ht="15" x14ac:dyDescent="0.2">
      <c r="A31" s="216" t="s">
        <v>19</v>
      </c>
      <c r="B31" s="161" t="s">
        <v>20</v>
      </c>
      <c r="C31" s="161" t="s">
        <v>54</v>
      </c>
      <c r="D31" s="196">
        <v>72</v>
      </c>
      <c r="E31" s="218">
        <v>40720</v>
      </c>
      <c r="F31" s="218">
        <v>7233</v>
      </c>
      <c r="G31" s="219">
        <v>21</v>
      </c>
      <c r="H31" s="223" t="s">
        <v>105</v>
      </c>
      <c r="I31" s="151">
        <v>4.5841383041958972</v>
      </c>
      <c r="J31" s="152">
        <v>5.5396139237545441</v>
      </c>
      <c r="K31" s="152">
        <v>6.4645202802472683</v>
      </c>
      <c r="L31" s="152">
        <v>5.1665452929883209</v>
      </c>
      <c r="M31" s="152">
        <v>5.0835274239601649</v>
      </c>
      <c r="N31" s="152">
        <v>5.6509213796751512</v>
      </c>
      <c r="O31" s="147">
        <v>5.2273605843098663</v>
      </c>
      <c r="P31" s="260">
        <v>5.38809</v>
      </c>
      <c r="Q31" s="260">
        <v>5.38809</v>
      </c>
      <c r="R31" s="239">
        <v>5.38809</v>
      </c>
      <c r="S31" s="172">
        <v>4.5</v>
      </c>
      <c r="T31" s="124">
        <f>(7/7)*100</f>
        <v>100</v>
      </c>
      <c r="U31" s="124">
        <f>(7/7)*100</f>
        <v>100</v>
      </c>
      <c r="V31" s="145">
        <f>(7/7)*100</f>
        <v>100</v>
      </c>
    </row>
    <row r="33" spans="10:18" x14ac:dyDescent="0.2">
      <c r="R33" s="256"/>
    </row>
    <row r="34" spans="10:18" x14ac:dyDescent="0.2">
      <c r="J34" s="224"/>
      <c r="Q34" s="256"/>
      <c r="R34" s="256"/>
    </row>
    <row r="35" spans="10:18" x14ac:dyDescent="0.2">
      <c r="Q35" s="256"/>
      <c r="R35" s="256"/>
    </row>
    <row r="36" spans="10:18" x14ac:dyDescent="0.2">
      <c r="Q36" s="256"/>
      <c r="R36" s="256"/>
    </row>
    <row r="37" spans="10:18" x14ac:dyDescent="0.2">
      <c r="Q37" s="256"/>
    </row>
    <row r="38" spans="10:18" x14ac:dyDescent="0.2">
      <c r="Q38" s="256"/>
    </row>
    <row r="39" spans="10:18" x14ac:dyDescent="0.2">
      <c r="Q39" s="256"/>
    </row>
    <row r="40" spans="10:18" x14ac:dyDescent="0.2">
      <c r="Q40" s="256"/>
    </row>
  </sheetData>
  <mergeCells count="36">
    <mergeCell ref="P1:R1"/>
    <mergeCell ref="S1:V1"/>
    <mergeCell ref="H3:H11"/>
    <mergeCell ref="Q3:Q5"/>
    <mergeCell ref="R3:R11"/>
    <mergeCell ref="S3:S11"/>
    <mergeCell ref="U3:U5"/>
    <mergeCell ref="V3:V11"/>
    <mergeCell ref="Q6:Q8"/>
    <mergeCell ref="U6:U8"/>
    <mergeCell ref="Q9:Q11"/>
    <mergeCell ref="U9:U11"/>
    <mergeCell ref="V12:V17"/>
    <mergeCell ref="Q15:Q17"/>
    <mergeCell ref="U15:U17"/>
    <mergeCell ref="H18:H23"/>
    <mergeCell ref="Q18:Q20"/>
    <mergeCell ref="R18:R23"/>
    <mergeCell ref="S18:S23"/>
    <mergeCell ref="U18:U20"/>
    <mergeCell ref="V18:V23"/>
    <mergeCell ref="Q21:Q23"/>
    <mergeCell ref="H12:H17"/>
    <mergeCell ref="Q12:Q14"/>
    <mergeCell ref="R12:R17"/>
    <mergeCell ref="S12:S17"/>
    <mergeCell ref="U12:U14"/>
    <mergeCell ref="V24:V29"/>
    <mergeCell ref="Q27:Q29"/>
    <mergeCell ref="U27:U29"/>
    <mergeCell ref="U21:U23"/>
    <mergeCell ref="H24:H29"/>
    <mergeCell ref="Q24:Q26"/>
    <mergeCell ref="R24:R29"/>
    <mergeCell ref="S24:S29"/>
    <mergeCell ref="U24:U2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40"/>
  <sheetViews>
    <sheetView zoomScale="70" zoomScaleNormal="70" workbookViewId="0">
      <selection activeCell="U24" sqref="U24:U26"/>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customWidth="1"/>
    <col min="14" max="14" width="11" customWidth="1"/>
    <col min="15" max="15" width="10.5703125" customWidth="1"/>
    <col min="16" max="17" width="11.28515625" customWidth="1"/>
    <col min="18" max="18" width="12.28515625" customWidth="1"/>
    <col min="19" max="19" width="13.85546875" style="171" customWidth="1"/>
    <col min="20" max="21" width="13" customWidth="1"/>
    <col min="22" max="22" width="14.7109375" customWidth="1"/>
  </cols>
  <sheetData>
    <row r="1" spans="1:22" ht="51" customHeight="1" x14ac:dyDescent="0.2">
      <c r="A1" s="275" t="s">
        <v>162</v>
      </c>
      <c r="P1" s="371" t="s">
        <v>90</v>
      </c>
      <c r="Q1" s="371"/>
      <c r="R1" s="371"/>
      <c r="S1" s="447" t="s">
        <v>94</v>
      </c>
      <c r="T1" s="448"/>
      <c r="U1" s="448"/>
      <c r="V1" s="449"/>
    </row>
    <row r="2" spans="1:22" ht="51" x14ac:dyDescent="0.2">
      <c r="A2" s="74" t="s">
        <v>0</v>
      </c>
      <c r="B2" s="75" t="s">
        <v>1</v>
      </c>
      <c r="C2" s="74" t="s">
        <v>2</v>
      </c>
      <c r="D2" s="25" t="s">
        <v>89</v>
      </c>
      <c r="E2" s="74" t="s">
        <v>81</v>
      </c>
      <c r="F2" s="74" t="s">
        <v>4</v>
      </c>
      <c r="G2" s="74" t="s">
        <v>5</v>
      </c>
      <c r="H2" s="1" t="s">
        <v>85</v>
      </c>
      <c r="I2" s="25" t="s">
        <v>155</v>
      </c>
      <c r="J2" s="25" t="s">
        <v>161</v>
      </c>
      <c r="K2" s="25" t="s">
        <v>156</v>
      </c>
      <c r="L2" s="25" t="s">
        <v>157</v>
      </c>
      <c r="M2" s="25" t="s">
        <v>158</v>
      </c>
      <c r="N2" s="25" t="s">
        <v>159</v>
      </c>
      <c r="O2" s="25" t="s">
        <v>160</v>
      </c>
      <c r="P2" s="25" t="s">
        <v>71</v>
      </c>
      <c r="Q2" s="26" t="s">
        <v>72</v>
      </c>
      <c r="R2" s="26" t="s">
        <v>80</v>
      </c>
      <c r="S2" s="26" t="s">
        <v>107</v>
      </c>
      <c r="T2" s="146" t="s">
        <v>91</v>
      </c>
      <c r="U2" s="146" t="s">
        <v>92</v>
      </c>
      <c r="V2" s="146" t="s">
        <v>93</v>
      </c>
    </row>
    <row r="3" spans="1:22" x14ac:dyDescent="0.2">
      <c r="A3" s="183" t="s">
        <v>6</v>
      </c>
      <c r="B3" s="184" t="s">
        <v>9</v>
      </c>
      <c r="C3" s="184" t="s">
        <v>46</v>
      </c>
      <c r="D3" s="185">
        <v>8</v>
      </c>
      <c r="E3" s="186">
        <v>10080</v>
      </c>
      <c r="F3" s="187">
        <v>500</v>
      </c>
      <c r="G3" s="188">
        <v>3</v>
      </c>
      <c r="H3" s="424" t="s">
        <v>82</v>
      </c>
      <c r="I3" s="264">
        <v>4.0783773851337974</v>
      </c>
      <c r="J3" s="265">
        <v>3.3509177377942154</v>
      </c>
      <c r="K3" s="265" t="s">
        <v>73</v>
      </c>
      <c r="L3" s="265">
        <v>4.3987616184091252</v>
      </c>
      <c r="M3" s="265">
        <v>4.578070792800025</v>
      </c>
      <c r="N3" s="265">
        <v>3.6671748304964575</v>
      </c>
      <c r="O3" s="265">
        <v>4.0397361843759594</v>
      </c>
      <c r="P3" s="280">
        <v>4.01884</v>
      </c>
      <c r="Q3" s="466">
        <v>3.7727539999999999</v>
      </c>
      <c r="R3" s="469">
        <v>4.227671</v>
      </c>
      <c r="S3" s="470">
        <v>5</v>
      </c>
      <c r="T3" s="124">
        <f>(0/6)*100</f>
        <v>0</v>
      </c>
      <c r="U3" s="432">
        <f>(0/18)*100</f>
        <v>0</v>
      </c>
      <c r="V3" s="429">
        <f>(8/57)*100</f>
        <v>14.035087719298245</v>
      </c>
    </row>
    <row r="4" spans="1:22" x14ac:dyDescent="0.2">
      <c r="A4" s="189" t="s">
        <v>6</v>
      </c>
      <c r="B4" s="190" t="s">
        <v>9</v>
      </c>
      <c r="C4" s="190" t="s">
        <v>46</v>
      </c>
      <c r="D4" s="191">
        <v>8</v>
      </c>
      <c r="E4" s="192">
        <v>20080</v>
      </c>
      <c r="F4" s="181">
        <v>926</v>
      </c>
      <c r="G4" s="193">
        <v>6</v>
      </c>
      <c r="H4" s="425"/>
      <c r="I4" s="266">
        <v>3.8760675732464676</v>
      </c>
      <c r="J4" s="263">
        <v>3.3533747304492323</v>
      </c>
      <c r="K4" s="263" t="s">
        <v>73</v>
      </c>
      <c r="L4" s="263">
        <v>3.9300930360817476</v>
      </c>
      <c r="M4" s="263">
        <v>4.3329367426120404</v>
      </c>
      <c r="N4" s="263">
        <v>3.5327664306318094</v>
      </c>
      <c r="O4" s="263">
        <v>4.3972390315598178</v>
      </c>
      <c r="P4" s="278">
        <v>3.9037459999999999</v>
      </c>
      <c r="Q4" s="467"/>
      <c r="R4" s="469"/>
      <c r="S4" s="471"/>
      <c r="T4" s="124">
        <f>(0/6)*100</f>
        <v>0</v>
      </c>
      <c r="U4" s="433"/>
      <c r="V4" s="430"/>
    </row>
    <row r="5" spans="1:22" x14ac:dyDescent="0.2">
      <c r="A5" s="194" t="s">
        <v>6</v>
      </c>
      <c r="B5" s="195" t="s">
        <v>9</v>
      </c>
      <c r="C5" s="195" t="s">
        <v>46</v>
      </c>
      <c r="D5" s="196">
        <v>8</v>
      </c>
      <c r="E5" s="197">
        <v>30080</v>
      </c>
      <c r="F5" s="198">
        <v>3704</v>
      </c>
      <c r="G5" s="199">
        <v>13</v>
      </c>
      <c r="H5" s="425"/>
      <c r="I5" s="267">
        <v>3.958471903600957</v>
      </c>
      <c r="J5" s="268">
        <v>3.2883615176352774</v>
      </c>
      <c r="K5" s="268" t="s">
        <v>73</v>
      </c>
      <c r="L5" s="268">
        <v>3.4657370658301532</v>
      </c>
      <c r="M5" s="268">
        <v>2.7518743717173018</v>
      </c>
      <c r="N5" s="268">
        <v>2.9326640299316846</v>
      </c>
      <c r="O5" s="268">
        <v>3.9769525078568142</v>
      </c>
      <c r="P5" s="279">
        <v>3.3956770000000001</v>
      </c>
      <c r="Q5" s="468"/>
      <c r="R5" s="469"/>
      <c r="S5" s="471"/>
      <c r="T5" s="124">
        <f>(0/6)*100</f>
        <v>0</v>
      </c>
      <c r="U5" s="434"/>
      <c r="V5" s="430"/>
    </row>
    <row r="6" spans="1:22" x14ac:dyDescent="0.2">
      <c r="A6" s="183" t="s">
        <v>6</v>
      </c>
      <c r="B6" s="184" t="s">
        <v>12</v>
      </c>
      <c r="C6" s="184" t="s">
        <v>47</v>
      </c>
      <c r="D6" s="185">
        <v>24</v>
      </c>
      <c r="E6" s="186">
        <v>10240</v>
      </c>
      <c r="F6" s="187">
        <v>500</v>
      </c>
      <c r="G6" s="200">
        <v>4</v>
      </c>
      <c r="H6" s="425"/>
      <c r="I6" s="264">
        <v>4.3345120160358475</v>
      </c>
      <c r="J6" s="265">
        <v>3.959848654046751</v>
      </c>
      <c r="K6" s="265" t="s">
        <v>73</v>
      </c>
      <c r="L6" s="265">
        <v>4.9509462371058595</v>
      </c>
      <c r="M6" s="265">
        <v>5.3271603874585196</v>
      </c>
      <c r="N6" s="265">
        <v>4.0042873434360571</v>
      </c>
      <c r="O6" s="265">
        <v>4.3192894050599389</v>
      </c>
      <c r="P6" s="280">
        <v>4.4826740000000003</v>
      </c>
      <c r="Q6" s="473">
        <v>4.1686170000000002</v>
      </c>
      <c r="R6" s="469"/>
      <c r="S6" s="471"/>
      <c r="T6" s="124">
        <f>(1/6)*100</f>
        <v>16.666666666666664</v>
      </c>
      <c r="U6" s="432">
        <f>(1/18)*100</f>
        <v>5.5555555555555554</v>
      </c>
      <c r="V6" s="430"/>
    </row>
    <row r="7" spans="1:22" x14ac:dyDescent="0.2">
      <c r="A7" s="189" t="s">
        <v>6</v>
      </c>
      <c r="B7" s="190" t="s">
        <v>12</v>
      </c>
      <c r="C7" s="190" t="s">
        <v>47</v>
      </c>
      <c r="D7" s="191">
        <v>24</v>
      </c>
      <c r="E7" s="192">
        <v>20240</v>
      </c>
      <c r="F7" s="181">
        <v>926</v>
      </c>
      <c r="G7" s="201">
        <v>7</v>
      </c>
      <c r="H7" s="425"/>
      <c r="I7" s="266">
        <v>4.0047948317961426</v>
      </c>
      <c r="J7" s="263">
        <v>4.3299023354927186</v>
      </c>
      <c r="K7" s="263" t="s">
        <v>73</v>
      </c>
      <c r="L7" s="263">
        <v>4.3932899917869985</v>
      </c>
      <c r="M7" s="263">
        <v>4.9707734815790383</v>
      </c>
      <c r="N7" s="263">
        <v>4.523821358543012</v>
      </c>
      <c r="O7" s="263">
        <v>4.1270998650393462</v>
      </c>
      <c r="P7" s="281">
        <v>4.3916130000000004</v>
      </c>
      <c r="Q7" s="474"/>
      <c r="R7" s="469"/>
      <c r="S7" s="471"/>
      <c r="T7" s="124">
        <f>(0/6)*100</f>
        <v>0</v>
      </c>
      <c r="U7" s="433"/>
      <c r="V7" s="430"/>
    </row>
    <row r="8" spans="1:22" x14ac:dyDescent="0.2">
      <c r="A8" s="194" t="s">
        <v>6</v>
      </c>
      <c r="B8" s="195" t="s">
        <v>12</v>
      </c>
      <c r="C8" s="195" t="s">
        <v>47</v>
      </c>
      <c r="D8" s="196">
        <v>24</v>
      </c>
      <c r="E8" s="197">
        <v>30240</v>
      </c>
      <c r="F8" s="198">
        <v>3704</v>
      </c>
      <c r="G8" s="199">
        <v>15</v>
      </c>
      <c r="H8" s="425"/>
      <c r="I8" s="267">
        <v>3.1280010901111037</v>
      </c>
      <c r="J8" s="268">
        <v>3.5781513648451941</v>
      </c>
      <c r="K8" s="268" t="s">
        <v>73</v>
      </c>
      <c r="L8" s="268">
        <v>4.6466898644945172</v>
      </c>
      <c r="M8" s="268">
        <v>2.8248181996213084</v>
      </c>
      <c r="N8" s="268">
        <v>3.5382121386321059</v>
      </c>
      <c r="O8" s="268">
        <v>4.0735038685003895</v>
      </c>
      <c r="P8" s="279">
        <v>3.6315629999999999</v>
      </c>
      <c r="Q8" s="475"/>
      <c r="R8" s="469"/>
      <c r="S8" s="471"/>
      <c r="T8" s="124">
        <f>(0/6)*100</f>
        <v>0</v>
      </c>
      <c r="U8" s="434"/>
      <c r="V8" s="430"/>
    </row>
    <row r="9" spans="1:22" x14ac:dyDescent="0.2">
      <c r="A9" s="183" t="s">
        <v>6</v>
      </c>
      <c r="B9" s="202" t="s">
        <v>13</v>
      </c>
      <c r="C9" s="184" t="s">
        <v>48</v>
      </c>
      <c r="D9" s="185">
        <v>40</v>
      </c>
      <c r="E9" s="186">
        <v>10400</v>
      </c>
      <c r="F9" s="187">
        <v>500</v>
      </c>
      <c r="G9" s="200">
        <v>3</v>
      </c>
      <c r="H9" s="425"/>
      <c r="I9" s="264">
        <v>5.7520066271124239</v>
      </c>
      <c r="J9" s="265">
        <v>4.035523592419592</v>
      </c>
      <c r="K9" s="265">
        <v>6.2306476852378889</v>
      </c>
      <c r="L9" s="265">
        <v>4.3011327314207817</v>
      </c>
      <c r="M9" s="265">
        <v>5.5804436585886839</v>
      </c>
      <c r="N9" s="265">
        <v>4.5575352437847432</v>
      </c>
      <c r="O9" s="265">
        <v>4.2422497202387124</v>
      </c>
      <c r="P9" s="280">
        <v>4.957077</v>
      </c>
      <c r="Q9" s="473">
        <v>4.6682180000000004</v>
      </c>
      <c r="R9" s="469"/>
      <c r="S9" s="471"/>
      <c r="T9" s="124">
        <f>(3/7)*100</f>
        <v>42.857142857142854</v>
      </c>
      <c r="U9" s="432">
        <f>(7/21)*100</f>
        <v>33.333333333333329</v>
      </c>
      <c r="V9" s="430"/>
    </row>
    <row r="10" spans="1:22" x14ac:dyDescent="0.2">
      <c r="A10" s="189" t="s">
        <v>6</v>
      </c>
      <c r="B10" s="203" t="s">
        <v>13</v>
      </c>
      <c r="C10" s="190" t="s">
        <v>48</v>
      </c>
      <c r="D10" s="191">
        <v>40</v>
      </c>
      <c r="E10" s="192">
        <v>20400</v>
      </c>
      <c r="F10" s="181">
        <v>926</v>
      </c>
      <c r="G10" s="201">
        <v>7</v>
      </c>
      <c r="H10" s="425"/>
      <c r="I10" s="266">
        <v>5.4122934709595629</v>
      </c>
      <c r="J10" s="263">
        <v>3.2482812523306155</v>
      </c>
      <c r="K10" s="263">
        <v>6.0738477510053048</v>
      </c>
      <c r="L10" s="263">
        <v>4.1344303299458058</v>
      </c>
      <c r="M10" s="263">
        <v>4.9345609360423568</v>
      </c>
      <c r="N10" s="263">
        <v>4.1768738526760947</v>
      </c>
      <c r="O10" s="263">
        <v>4.2763132816336524</v>
      </c>
      <c r="P10" s="281">
        <v>4.6080860000000001</v>
      </c>
      <c r="Q10" s="474"/>
      <c r="R10" s="469"/>
      <c r="S10" s="471"/>
      <c r="T10" s="124">
        <f>(2/7)*100</f>
        <v>28.571428571428569</v>
      </c>
      <c r="U10" s="433"/>
      <c r="V10" s="430"/>
    </row>
    <row r="11" spans="1:22" x14ac:dyDescent="0.2">
      <c r="A11" s="194" t="s">
        <v>6</v>
      </c>
      <c r="B11" s="204" t="s">
        <v>13</v>
      </c>
      <c r="C11" s="195" t="s">
        <v>48</v>
      </c>
      <c r="D11" s="196">
        <v>40</v>
      </c>
      <c r="E11" s="197">
        <v>30400</v>
      </c>
      <c r="F11" s="198">
        <v>3704</v>
      </c>
      <c r="G11" s="199">
        <v>13</v>
      </c>
      <c r="H11" s="426"/>
      <c r="I11" s="266">
        <v>4.9376264945674357</v>
      </c>
      <c r="J11" s="263">
        <v>3.9712219169411922</v>
      </c>
      <c r="K11" s="263">
        <v>5.5357827552805716</v>
      </c>
      <c r="L11" s="263">
        <v>3.4987749507932397</v>
      </c>
      <c r="M11" s="263">
        <v>5.1509564425893339</v>
      </c>
      <c r="N11" s="263">
        <v>3.9398927885036525</v>
      </c>
      <c r="O11" s="263">
        <v>4.0421707701118983</v>
      </c>
      <c r="P11" s="281">
        <v>4.439489</v>
      </c>
      <c r="Q11" s="474"/>
      <c r="R11" s="469"/>
      <c r="S11" s="472"/>
      <c r="T11" s="124">
        <f>(2/7)*100</f>
        <v>28.571428571428569</v>
      </c>
      <c r="U11" s="434"/>
      <c r="V11" s="431"/>
    </row>
    <row r="12" spans="1:22" x14ac:dyDescent="0.2">
      <c r="A12" s="183" t="s">
        <v>6</v>
      </c>
      <c r="B12" s="205" t="s">
        <v>50</v>
      </c>
      <c r="C12" s="205" t="s">
        <v>51</v>
      </c>
      <c r="D12" s="185">
        <v>53</v>
      </c>
      <c r="E12" s="186">
        <v>10530</v>
      </c>
      <c r="F12" s="187">
        <v>500</v>
      </c>
      <c r="G12" s="200">
        <v>6.5</v>
      </c>
      <c r="H12" s="424" t="s">
        <v>83</v>
      </c>
      <c r="I12" s="264">
        <v>5.2097794686171985</v>
      </c>
      <c r="J12" s="265">
        <v>3.9260780681457939</v>
      </c>
      <c r="K12" s="265">
        <v>6.2730073619236935</v>
      </c>
      <c r="L12" s="265">
        <v>4.5192494602732127</v>
      </c>
      <c r="M12" s="265">
        <v>4.6515174190931061</v>
      </c>
      <c r="N12" s="265">
        <v>3.698615060303065</v>
      </c>
      <c r="O12" s="265">
        <v>4.0037081990904619</v>
      </c>
      <c r="P12" s="280">
        <v>4.6117080000000001</v>
      </c>
      <c r="Q12" s="473">
        <v>4.4960129999999996</v>
      </c>
      <c r="R12" s="457">
        <v>4.552721</v>
      </c>
      <c r="S12" s="470">
        <v>5</v>
      </c>
      <c r="T12" s="124">
        <f>(2/7)*100</f>
        <v>28.571428571428569</v>
      </c>
      <c r="U12" s="432">
        <f>(5/21)*100</f>
        <v>23.809523809523807</v>
      </c>
      <c r="V12" s="429">
        <f>(10/42)*100</f>
        <v>23.809523809523807</v>
      </c>
    </row>
    <row r="13" spans="1:22" x14ac:dyDescent="0.2">
      <c r="A13" s="189" t="s">
        <v>6</v>
      </c>
      <c r="B13" s="206" t="s">
        <v>50</v>
      </c>
      <c r="C13" s="206" t="s">
        <v>51</v>
      </c>
      <c r="D13" s="191">
        <v>53</v>
      </c>
      <c r="E13" s="192">
        <v>20530</v>
      </c>
      <c r="F13" s="181">
        <v>926</v>
      </c>
      <c r="G13" s="201">
        <v>7</v>
      </c>
      <c r="H13" s="425"/>
      <c r="I13" s="266">
        <v>5.1008912966666742</v>
      </c>
      <c r="J13" s="263">
        <v>3.9304106243076848</v>
      </c>
      <c r="K13" s="263">
        <v>6.2515752788984296</v>
      </c>
      <c r="L13" s="263">
        <v>3.9850915387157455</v>
      </c>
      <c r="M13" s="263">
        <v>4.6725764408772639</v>
      </c>
      <c r="N13" s="263">
        <v>3.8364981031155239</v>
      </c>
      <c r="O13" s="263">
        <v>4.415620924811007</v>
      </c>
      <c r="P13" s="281">
        <v>4.5989519999999997</v>
      </c>
      <c r="Q13" s="474"/>
      <c r="R13" s="457"/>
      <c r="S13" s="471"/>
      <c r="T13" s="124">
        <f>(2/7)*100</f>
        <v>28.571428571428569</v>
      </c>
      <c r="U13" s="433"/>
      <c r="V13" s="430"/>
    </row>
    <row r="14" spans="1:22" x14ac:dyDescent="0.2">
      <c r="A14" s="194" t="s">
        <v>6</v>
      </c>
      <c r="B14" s="207" t="s">
        <v>50</v>
      </c>
      <c r="C14" s="207" t="s">
        <v>51</v>
      </c>
      <c r="D14" s="196">
        <v>53</v>
      </c>
      <c r="E14" s="197">
        <v>30530</v>
      </c>
      <c r="F14" s="198">
        <v>3704</v>
      </c>
      <c r="G14" s="199">
        <v>14</v>
      </c>
      <c r="H14" s="425"/>
      <c r="I14" s="267">
        <v>4.6691656715098508</v>
      </c>
      <c r="J14" s="268">
        <v>4.1431061330096215</v>
      </c>
      <c r="K14" s="268">
        <v>6.0103018896291438</v>
      </c>
      <c r="L14" s="268">
        <v>2.8347059254955225</v>
      </c>
      <c r="M14" s="268">
        <v>4.4483029245539392</v>
      </c>
      <c r="N14" s="268">
        <v>3.4905215588528922</v>
      </c>
      <c r="O14" s="268">
        <v>4.345557561385486</v>
      </c>
      <c r="P14" s="282">
        <v>4.27738</v>
      </c>
      <c r="Q14" s="475"/>
      <c r="R14" s="457"/>
      <c r="S14" s="471"/>
      <c r="T14" s="124">
        <f>(1/7)*100</f>
        <v>14.285714285714285</v>
      </c>
      <c r="U14" s="434"/>
      <c r="V14" s="430"/>
    </row>
    <row r="15" spans="1:22" x14ac:dyDescent="0.2">
      <c r="A15" s="183" t="s">
        <v>6</v>
      </c>
      <c r="B15" s="205" t="s">
        <v>49</v>
      </c>
      <c r="C15" s="205" t="s">
        <v>52</v>
      </c>
      <c r="D15" s="185">
        <v>56</v>
      </c>
      <c r="E15" s="186">
        <v>10560</v>
      </c>
      <c r="F15" s="187">
        <v>500</v>
      </c>
      <c r="G15" s="200">
        <v>3.5</v>
      </c>
      <c r="H15" s="425"/>
      <c r="I15" s="264">
        <v>4.7810779969057151</v>
      </c>
      <c r="J15" s="265">
        <v>4.3296099088986306</v>
      </c>
      <c r="K15" s="265">
        <v>5.8297066711688004</v>
      </c>
      <c r="L15" s="265">
        <v>4.724699549577859</v>
      </c>
      <c r="M15" s="265">
        <v>5.2211914855915733</v>
      </c>
      <c r="N15" s="265">
        <v>3.861984060584116</v>
      </c>
      <c r="O15" s="265">
        <v>4.169118427398816</v>
      </c>
      <c r="P15" s="280">
        <v>4.7024840000000001</v>
      </c>
      <c r="Q15" s="473">
        <v>4.6094280000000003</v>
      </c>
      <c r="R15" s="457"/>
      <c r="S15" s="471"/>
      <c r="T15" s="124">
        <f>(2/7)*100</f>
        <v>28.571428571428569</v>
      </c>
      <c r="U15" s="432">
        <f>(5/21)*100</f>
        <v>23.809523809523807</v>
      </c>
      <c r="V15" s="430"/>
    </row>
    <row r="16" spans="1:22" x14ac:dyDescent="0.2">
      <c r="A16" s="189" t="s">
        <v>6</v>
      </c>
      <c r="B16" s="206" t="s">
        <v>49</v>
      </c>
      <c r="C16" s="206" t="s">
        <v>52</v>
      </c>
      <c r="D16" s="191">
        <v>56</v>
      </c>
      <c r="E16" s="181">
        <v>20560</v>
      </c>
      <c r="F16" s="181">
        <v>926</v>
      </c>
      <c r="G16" s="201">
        <v>5</v>
      </c>
      <c r="H16" s="425"/>
      <c r="I16" s="266">
        <v>4.8190687256003653</v>
      </c>
      <c r="J16" s="263">
        <v>4.6001160539624912</v>
      </c>
      <c r="K16" s="263">
        <v>6.0090052723751111</v>
      </c>
      <c r="L16" s="263">
        <v>4.5819499153610517</v>
      </c>
      <c r="M16" s="263">
        <v>5.2425817859123027</v>
      </c>
      <c r="N16" s="263">
        <v>3.7391537449121621</v>
      </c>
      <c r="O16" s="263">
        <v>3.122413579250618</v>
      </c>
      <c r="P16" s="281">
        <v>4.5877559999999997</v>
      </c>
      <c r="Q16" s="474"/>
      <c r="R16" s="457"/>
      <c r="S16" s="471"/>
      <c r="T16" s="124">
        <f>(2/7)*100</f>
        <v>28.571428571428569</v>
      </c>
      <c r="U16" s="433"/>
      <c r="V16" s="430"/>
    </row>
    <row r="17" spans="1:22" x14ac:dyDescent="0.2">
      <c r="A17" s="194" t="s">
        <v>6</v>
      </c>
      <c r="B17" s="207" t="s">
        <v>49</v>
      </c>
      <c r="C17" s="207" t="s">
        <v>52</v>
      </c>
      <c r="D17" s="196">
        <v>56</v>
      </c>
      <c r="E17" s="198">
        <v>30560</v>
      </c>
      <c r="F17" s="198">
        <v>3704</v>
      </c>
      <c r="G17" s="199">
        <v>16</v>
      </c>
      <c r="H17" s="426"/>
      <c r="I17" s="266">
        <v>4.7751040452948628</v>
      </c>
      <c r="J17" s="263">
        <v>4.2926423427741831</v>
      </c>
      <c r="K17" s="263">
        <v>6.1501423331258955</v>
      </c>
      <c r="L17" s="263">
        <v>4.0516764626426385</v>
      </c>
      <c r="M17" s="263">
        <v>4.6347133909183018</v>
      </c>
      <c r="N17" s="263">
        <v>3.4655403758624654</v>
      </c>
      <c r="O17" s="263">
        <v>4.3964926951170904</v>
      </c>
      <c r="P17" s="281">
        <v>4.5380440000000002</v>
      </c>
      <c r="Q17" s="474"/>
      <c r="R17" s="457"/>
      <c r="S17" s="472"/>
      <c r="T17" s="124">
        <f>(1/7)*100</f>
        <v>14.285714285714285</v>
      </c>
      <c r="U17" s="434"/>
      <c r="V17" s="431"/>
    </row>
    <row r="18" spans="1:22" x14ac:dyDescent="0.2">
      <c r="A18" s="183" t="s">
        <v>6</v>
      </c>
      <c r="B18" s="205" t="s">
        <v>16</v>
      </c>
      <c r="C18" s="205" t="s">
        <v>53</v>
      </c>
      <c r="D18" s="185">
        <v>64</v>
      </c>
      <c r="E18" s="187">
        <v>10640</v>
      </c>
      <c r="F18" s="187">
        <v>500</v>
      </c>
      <c r="G18" s="200">
        <v>6</v>
      </c>
      <c r="H18" s="424" t="s">
        <v>88</v>
      </c>
      <c r="I18" s="264">
        <v>5.1573616460315348</v>
      </c>
      <c r="J18" s="265">
        <v>5.3178336335517997</v>
      </c>
      <c r="K18" s="265">
        <v>6.4911856801798136</v>
      </c>
      <c r="L18" s="265">
        <v>5.7617370036714837</v>
      </c>
      <c r="M18" s="265">
        <v>5.5669197686969971</v>
      </c>
      <c r="N18" s="265">
        <v>4.2795363564441455</v>
      </c>
      <c r="O18" s="265">
        <v>5.4174991885468975</v>
      </c>
      <c r="P18" s="284">
        <v>5.4274389999999997</v>
      </c>
      <c r="Q18" s="476">
        <v>5.3113140000000003</v>
      </c>
      <c r="R18" s="463">
        <v>5.0742500000000001</v>
      </c>
      <c r="S18" s="470">
        <v>5</v>
      </c>
      <c r="T18" s="124">
        <f>(6/7)*100</f>
        <v>85.714285714285708</v>
      </c>
      <c r="U18" s="432">
        <f>(14/21)*100</f>
        <v>66.666666666666657</v>
      </c>
      <c r="V18" s="429">
        <f>(21/42)*100</f>
        <v>50</v>
      </c>
    </row>
    <row r="19" spans="1:22" x14ac:dyDescent="0.2">
      <c r="A19" s="189" t="s">
        <v>6</v>
      </c>
      <c r="B19" s="206" t="s">
        <v>16</v>
      </c>
      <c r="C19" s="206" t="s">
        <v>53</v>
      </c>
      <c r="D19" s="191">
        <v>64</v>
      </c>
      <c r="E19" s="181">
        <v>20640</v>
      </c>
      <c r="F19" s="181">
        <v>926</v>
      </c>
      <c r="G19" s="201">
        <v>10</v>
      </c>
      <c r="H19" s="425"/>
      <c r="I19" s="266">
        <v>5.3684501836407232</v>
      </c>
      <c r="J19" s="263">
        <v>5.3488201629479422</v>
      </c>
      <c r="K19" s="263">
        <v>6.5032492935621047</v>
      </c>
      <c r="L19" s="263">
        <v>5.7000015364569032</v>
      </c>
      <c r="M19" s="263">
        <v>5.2875600618312015</v>
      </c>
      <c r="N19" s="263">
        <v>4.5768550519590141</v>
      </c>
      <c r="O19" s="263">
        <v>5.4637506359816177</v>
      </c>
      <c r="P19" s="285">
        <v>5.4640979999999999</v>
      </c>
      <c r="Q19" s="477"/>
      <c r="R19" s="463"/>
      <c r="S19" s="471"/>
      <c r="T19" s="124">
        <f>(6/7)*100</f>
        <v>85.714285714285708</v>
      </c>
      <c r="U19" s="433"/>
      <c r="V19" s="430"/>
    </row>
    <row r="20" spans="1:22" x14ac:dyDescent="0.2">
      <c r="A20" s="194" t="s">
        <v>6</v>
      </c>
      <c r="B20" s="207" t="s">
        <v>16</v>
      </c>
      <c r="C20" s="207" t="s">
        <v>53</v>
      </c>
      <c r="D20" s="196">
        <v>64</v>
      </c>
      <c r="E20" s="198">
        <v>30640</v>
      </c>
      <c r="F20" s="198">
        <v>3704</v>
      </c>
      <c r="G20" s="199">
        <v>19</v>
      </c>
      <c r="H20" s="425"/>
      <c r="I20" s="267">
        <v>4.7126783022142957</v>
      </c>
      <c r="J20" s="268">
        <v>4.6892345719202124</v>
      </c>
      <c r="K20" s="268">
        <v>6.1633133450523845</v>
      </c>
      <c r="L20" s="268">
        <v>4.5917974876274261</v>
      </c>
      <c r="M20" s="268">
        <v>5.5993082799060749</v>
      </c>
      <c r="N20" s="268">
        <v>4.9683297957762518</v>
      </c>
      <c r="O20" s="268">
        <v>4.5721657842775265</v>
      </c>
      <c r="P20" s="286">
        <v>5.0424040000000003</v>
      </c>
      <c r="Q20" s="478"/>
      <c r="R20" s="463"/>
      <c r="S20" s="471"/>
      <c r="T20" s="124">
        <f>(2/7)*100</f>
        <v>28.571428571428569</v>
      </c>
      <c r="U20" s="434"/>
      <c r="V20" s="430"/>
    </row>
    <row r="21" spans="1:22" x14ac:dyDescent="0.2">
      <c r="A21" s="183" t="s">
        <v>19</v>
      </c>
      <c r="B21" s="205" t="s">
        <v>20</v>
      </c>
      <c r="C21" s="205" t="s">
        <v>54</v>
      </c>
      <c r="D21" s="185">
        <v>72</v>
      </c>
      <c r="E21" s="187">
        <v>10720</v>
      </c>
      <c r="F21" s="187">
        <v>500</v>
      </c>
      <c r="G21" s="200">
        <v>3</v>
      </c>
      <c r="H21" s="425"/>
      <c r="I21" s="264">
        <v>4.6591795250517389</v>
      </c>
      <c r="J21" s="265">
        <v>4.260287424608296</v>
      </c>
      <c r="K21" s="265">
        <v>6.7457060959169981</v>
      </c>
      <c r="L21" s="265">
        <v>5.0301813584451338</v>
      </c>
      <c r="M21" s="265">
        <v>4.2239391532552517</v>
      </c>
      <c r="N21" s="265">
        <v>4.2927448260094314</v>
      </c>
      <c r="O21" s="265">
        <v>5.3137166733564598</v>
      </c>
      <c r="P21" s="280">
        <v>4.9322499999999998</v>
      </c>
      <c r="Q21" s="473">
        <v>4.8371870000000001</v>
      </c>
      <c r="R21" s="463"/>
      <c r="S21" s="471"/>
      <c r="T21" s="124">
        <f>(3/7)*100</f>
        <v>42.857142857142854</v>
      </c>
      <c r="U21" s="432">
        <f>(7/21)*100</f>
        <v>33.333333333333329</v>
      </c>
      <c r="V21" s="430"/>
    </row>
    <row r="22" spans="1:22" x14ac:dyDescent="0.2">
      <c r="A22" s="189" t="s">
        <v>19</v>
      </c>
      <c r="B22" s="206" t="s">
        <v>20</v>
      </c>
      <c r="C22" s="206" t="s">
        <v>54</v>
      </c>
      <c r="D22" s="191">
        <v>72</v>
      </c>
      <c r="E22" s="181">
        <v>20720</v>
      </c>
      <c r="F22" s="181">
        <v>926</v>
      </c>
      <c r="G22" s="201">
        <v>6</v>
      </c>
      <c r="H22" s="425"/>
      <c r="I22" s="266">
        <v>4.1365001643691075</v>
      </c>
      <c r="J22" s="263">
        <v>4.1867172125619057</v>
      </c>
      <c r="K22" s="263">
        <v>6.488169364424591</v>
      </c>
      <c r="L22" s="263">
        <v>4.6122960582818688</v>
      </c>
      <c r="M22" s="263">
        <v>4.3998844631441587</v>
      </c>
      <c r="N22" s="263">
        <v>4.2788678480042321</v>
      </c>
      <c r="O22" s="263">
        <v>5.4435457388004043</v>
      </c>
      <c r="P22" s="281">
        <v>4.7922830000000003</v>
      </c>
      <c r="Q22" s="474"/>
      <c r="R22" s="463"/>
      <c r="S22" s="471"/>
      <c r="T22" s="124">
        <f>(2/7)*100</f>
        <v>28.571428571428569</v>
      </c>
      <c r="U22" s="433"/>
      <c r="V22" s="430"/>
    </row>
    <row r="23" spans="1:22" x14ac:dyDescent="0.2">
      <c r="A23" s="194" t="s">
        <v>19</v>
      </c>
      <c r="B23" s="207" t="s">
        <v>20</v>
      </c>
      <c r="C23" s="207" t="s">
        <v>54</v>
      </c>
      <c r="D23" s="196">
        <v>72</v>
      </c>
      <c r="E23" s="198">
        <v>30720</v>
      </c>
      <c r="F23" s="198">
        <v>3704</v>
      </c>
      <c r="G23" s="199">
        <v>14</v>
      </c>
      <c r="H23" s="426"/>
      <c r="I23" s="266">
        <v>3.727087827890466</v>
      </c>
      <c r="J23" s="263">
        <v>4.9488033965055624</v>
      </c>
      <c r="K23" s="263">
        <v>6.2882662613275224</v>
      </c>
      <c r="L23" s="263">
        <v>4.8365101543622107</v>
      </c>
      <c r="M23" s="263">
        <v>4.1595096653396899</v>
      </c>
      <c r="N23" s="263">
        <v>4.1537736887395917</v>
      </c>
      <c r="O23" s="263">
        <v>5.3952416806771799</v>
      </c>
      <c r="P23" s="281">
        <v>4.7870270000000001</v>
      </c>
      <c r="Q23" s="474"/>
      <c r="R23" s="463"/>
      <c r="S23" s="472"/>
      <c r="T23" s="124">
        <f>(2/7)*100</f>
        <v>28.571428571428569</v>
      </c>
      <c r="U23" s="434"/>
      <c r="V23" s="431"/>
    </row>
    <row r="24" spans="1:22" x14ac:dyDescent="0.2">
      <c r="A24" s="183" t="s">
        <v>19</v>
      </c>
      <c r="B24" s="208" t="s">
        <v>24</v>
      </c>
      <c r="C24" s="208" t="s">
        <v>25</v>
      </c>
      <c r="D24" s="185">
        <v>601</v>
      </c>
      <c r="E24" s="209">
        <v>16010</v>
      </c>
      <c r="F24" s="187">
        <v>500</v>
      </c>
      <c r="G24" s="200">
        <v>6</v>
      </c>
      <c r="H24" s="424" t="s">
        <v>84</v>
      </c>
      <c r="I24" s="264">
        <v>6.0267985379656599</v>
      </c>
      <c r="J24" s="265">
        <v>5.462022285343326</v>
      </c>
      <c r="K24" s="265">
        <v>6.9073881584740322</v>
      </c>
      <c r="L24" s="265">
        <v>5.016252389154606</v>
      </c>
      <c r="M24" s="265">
        <v>3.6715292895381144</v>
      </c>
      <c r="N24" s="265">
        <v>6.125777177698092</v>
      </c>
      <c r="O24" s="265">
        <v>5.7527334928141833</v>
      </c>
      <c r="P24" s="284">
        <v>5.5660720000000001</v>
      </c>
      <c r="Q24" s="479">
        <v>5.6138250000000003</v>
      </c>
      <c r="R24" s="463">
        <v>5.6213220000000002</v>
      </c>
      <c r="S24" s="470">
        <v>5</v>
      </c>
      <c r="T24" s="124">
        <f>(6/7)*100</f>
        <v>85.714285714285708</v>
      </c>
      <c r="U24" s="432">
        <f>(17/21)*100</f>
        <v>80.952380952380949</v>
      </c>
      <c r="V24" s="429">
        <f>(32/42)*100</f>
        <v>76.19047619047619</v>
      </c>
    </row>
    <row r="25" spans="1:22" x14ac:dyDescent="0.2">
      <c r="A25" s="189" t="s">
        <v>19</v>
      </c>
      <c r="B25" s="182" t="s">
        <v>24</v>
      </c>
      <c r="C25" s="182" t="s">
        <v>25</v>
      </c>
      <c r="D25" s="191">
        <v>601</v>
      </c>
      <c r="E25" s="210">
        <v>26010</v>
      </c>
      <c r="F25" s="181">
        <v>926</v>
      </c>
      <c r="G25" s="201">
        <v>16</v>
      </c>
      <c r="H25" s="425"/>
      <c r="I25" s="266">
        <v>5.7165830479851447</v>
      </c>
      <c r="J25" s="263">
        <v>6.040145469093039</v>
      </c>
      <c r="K25" s="263">
        <v>7.2213497645035609</v>
      </c>
      <c r="L25" s="263">
        <v>5.1950752193409366</v>
      </c>
      <c r="M25" s="263">
        <v>4.2295794574789953</v>
      </c>
      <c r="N25" s="263">
        <v>6.1952165412127025</v>
      </c>
      <c r="O25" s="263">
        <v>5.7977533472143152</v>
      </c>
      <c r="P25" s="285">
        <v>5.7708149999999998</v>
      </c>
      <c r="Q25" s="480"/>
      <c r="R25" s="463"/>
      <c r="S25" s="471"/>
      <c r="T25" s="124">
        <f>(6/7)*100</f>
        <v>85.714285714285708</v>
      </c>
      <c r="U25" s="433"/>
      <c r="V25" s="430"/>
    </row>
    <row r="26" spans="1:22" x14ac:dyDescent="0.2">
      <c r="A26" s="194" t="s">
        <v>19</v>
      </c>
      <c r="B26" s="211" t="s">
        <v>24</v>
      </c>
      <c r="C26" s="211" t="s">
        <v>25</v>
      </c>
      <c r="D26" s="196">
        <v>601</v>
      </c>
      <c r="E26" s="212">
        <v>36010</v>
      </c>
      <c r="F26" s="198">
        <v>3704</v>
      </c>
      <c r="G26" s="199">
        <v>27</v>
      </c>
      <c r="H26" s="425"/>
      <c r="I26" s="267">
        <v>5.49232341830057</v>
      </c>
      <c r="J26" s="268">
        <v>4.5895562591267547</v>
      </c>
      <c r="K26" s="268">
        <v>6.6190652152204175</v>
      </c>
      <c r="L26" s="268">
        <v>4.8033310798527724</v>
      </c>
      <c r="M26" s="268">
        <v>5.345945116559581</v>
      </c>
      <c r="N26" s="268">
        <v>5.8403975799373145</v>
      </c>
      <c r="O26" s="268">
        <v>5.8414992115767985</v>
      </c>
      <c r="P26" s="286">
        <v>5.504588</v>
      </c>
      <c r="Q26" s="481"/>
      <c r="R26" s="463"/>
      <c r="S26" s="471"/>
      <c r="T26" s="124">
        <f>(5/7)*100</f>
        <v>71.428571428571431</v>
      </c>
      <c r="U26" s="434"/>
      <c r="V26" s="430"/>
    </row>
    <row r="27" spans="1:22" x14ac:dyDescent="0.2">
      <c r="A27" s="213" t="s">
        <v>19</v>
      </c>
      <c r="B27" s="208" t="s">
        <v>24</v>
      </c>
      <c r="C27" s="208" t="s">
        <v>78</v>
      </c>
      <c r="D27" s="185">
        <v>82</v>
      </c>
      <c r="E27" s="187">
        <v>10820</v>
      </c>
      <c r="F27" s="187">
        <v>500</v>
      </c>
      <c r="G27" s="200">
        <v>5</v>
      </c>
      <c r="H27" s="425"/>
      <c r="I27" s="264">
        <v>5.6583207751892113</v>
      </c>
      <c r="J27" s="265">
        <v>3.8198042107137127</v>
      </c>
      <c r="K27" s="265">
        <v>6.9745384855394716</v>
      </c>
      <c r="L27" s="265">
        <v>5.4654305564535468</v>
      </c>
      <c r="M27" s="265">
        <v>6.5137665786854528</v>
      </c>
      <c r="N27" s="265">
        <v>6.9201607464734822</v>
      </c>
      <c r="O27" s="265">
        <v>6.0859701109557269</v>
      </c>
      <c r="P27" s="284">
        <v>5.9197129999999998</v>
      </c>
      <c r="Q27" s="479">
        <v>5.628819</v>
      </c>
      <c r="R27" s="463"/>
      <c r="S27" s="471"/>
      <c r="T27" s="124">
        <f>(6/7)*100</f>
        <v>85.714285714285708</v>
      </c>
      <c r="U27" s="432">
        <f>(15/21)*100</f>
        <v>71.428571428571431</v>
      </c>
      <c r="V27" s="430"/>
    </row>
    <row r="28" spans="1:22" x14ac:dyDescent="0.2">
      <c r="A28" s="214" t="s">
        <v>19</v>
      </c>
      <c r="B28" s="182" t="s">
        <v>24</v>
      </c>
      <c r="C28" s="182" t="s">
        <v>78</v>
      </c>
      <c r="D28" s="191">
        <v>82</v>
      </c>
      <c r="E28" s="181">
        <v>20820</v>
      </c>
      <c r="F28" s="181">
        <v>926</v>
      </c>
      <c r="G28" s="201">
        <v>7</v>
      </c>
      <c r="H28" s="425"/>
      <c r="I28" s="266">
        <v>5.6111101798321306</v>
      </c>
      <c r="J28" s="263">
        <v>4.2732717363459241</v>
      </c>
      <c r="K28" s="263">
        <v>5.8887533484312753</v>
      </c>
      <c r="L28" s="263">
        <v>4.997611918729131</v>
      </c>
      <c r="M28" s="263">
        <v>6.531140160379878</v>
      </c>
      <c r="N28" s="263">
        <v>6.8293597778160908</v>
      </c>
      <c r="O28" s="263">
        <v>5.8376553221825862</v>
      </c>
      <c r="P28" s="285">
        <v>5.7098430000000002</v>
      </c>
      <c r="Q28" s="480"/>
      <c r="R28" s="463"/>
      <c r="S28" s="471"/>
      <c r="T28" s="124">
        <f>(5/7)*100</f>
        <v>71.428571428571431</v>
      </c>
      <c r="U28" s="433"/>
      <c r="V28" s="430"/>
    </row>
    <row r="29" spans="1:22" x14ac:dyDescent="0.2">
      <c r="A29" s="215" t="s">
        <v>19</v>
      </c>
      <c r="B29" s="211" t="s">
        <v>24</v>
      </c>
      <c r="C29" s="211" t="s">
        <v>78</v>
      </c>
      <c r="D29" s="196">
        <v>82</v>
      </c>
      <c r="E29" s="198">
        <v>30820</v>
      </c>
      <c r="F29" s="198">
        <v>3704</v>
      </c>
      <c r="G29" s="199">
        <v>15</v>
      </c>
      <c r="H29" s="426"/>
      <c r="I29" s="266">
        <v>5.1456876250111039</v>
      </c>
      <c r="J29" s="263">
        <v>3.9761750624931977</v>
      </c>
      <c r="K29" s="263">
        <v>7.0409633929996751</v>
      </c>
      <c r="L29" s="263">
        <v>3.8162836512687668</v>
      </c>
      <c r="M29" s="263">
        <v>4.9673761538855041</v>
      </c>
      <c r="N29" s="263">
        <v>5.9171010972149354</v>
      </c>
      <c r="O29" s="263">
        <v>5.9347089278406964</v>
      </c>
      <c r="P29" s="285">
        <v>5.2568989999999998</v>
      </c>
      <c r="Q29" s="480"/>
      <c r="R29" s="463"/>
      <c r="S29" s="472"/>
      <c r="T29" s="124">
        <f>(4/7)*100</f>
        <v>57.142857142857139</v>
      </c>
      <c r="U29" s="434"/>
      <c r="V29" s="431"/>
    </row>
    <row r="30" spans="1:22" ht="15" x14ac:dyDescent="0.2">
      <c r="A30" s="216" t="s">
        <v>6</v>
      </c>
      <c r="B30" s="161" t="s">
        <v>50</v>
      </c>
      <c r="C30" s="161" t="s">
        <v>106</v>
      </c>
      <c r="D30" s="241">
        <v>53</v>
      </c>
      <c r="E30" s="158">
        <v>40530</v>
      </c>
      <c r="F30" s="218">
        <v>8334</v>
      </c>
      <c r="G30" s="219">
        <v>18</v>
      </c>
      <c r="H30" s="222" t="s">
        <v>104</v>
      </c>
      <c r="I30" s="269">
        <v>4.9500761929091581</v>
      </c>
      <c r="J30" s="270">
        <v>4.0829575556297382</v>
      </c>
      <c r="K30" s="270">
        <v>5.689628701892337</v>
      </c>
      <c r="L30" s="270">
        <v>4.0105640008266672</v>
      </c>
      <c r="M30" s="270">
        <v>2.614412093029038</v>
      </c>
      <c r="N30" s="270">
        <v>3.1406859786964421</v>
      </c>
      <c r="O30" s="270">
        <v>4.096589582735306</v>
      </c>
      <c r="P30" s="283">
        <v>4.0835590000000002</v>
      </c>
      <c r="Q30" s="271">
        <v>4.0835590000000002</v>
      </c>
      <c r="R30" s="273">
        <v>4.0835590000000002</v>
      </c>
      <c r="S30" s="262">
        <v>4.5</v>
      </c>
      <c r="T30" s="124">
        <f>(2/7)*100</f>
        <v>28.571428571428569</v>
      </c>
      <c r="U30" s="124">
        <f>(2/7)*100</f>
        <v>28.571428571428569</v>
      </c>
      <c r="V30" s="145">
        <f>(2/7)*100</f>
        <v>28.571428571428569</v>
      </c>
    </row>
    <row r="31" spans="1:22" ht="15" x14ac:dyDescent="0.2">
      <c r="A31" s="216" t="s">
        <v>19</v>
      </c>
      <c r="B31" s="161" t="s">
        <v>20</v>
      </c>
      <c r="C31" s="161" t="s">
        <v>54</v>
      </c>
      <c r="D31" s="196">
        <v>72</v>
      </c>
      <c r="E31" s="218">
        <v>40720</v>
      </c>
      <c r="F31" s="218">
        <v>7233</v>
      </c>
      <c r="G31" s="219">
        <v>21</v>
      </c>
      <c r="H31" s="223" t="s">
        <v>105</v>
      </c>
      <c r="I31" s="269">
        <v>4.8629355169716275</v>
      </c>
      <c r="J31" s="270">
        <v>4.5425565657920499</v>
      </c>
      <c r="K31" s="270">
        <v>6.7420409471190093</v>
      </c>
      <c r="L31" s="270">
        <v>4.6667278953107694</v>
      </c>
      <c r="M31" s="270">
        <v>5.2698933417438978</v>
      </c>
      <c r="N31" s="270">
        <v>4.1770903915594149</v>
      </c>
      <c r="O31" s="270">
        <v>5.0184292431370157</v>
      </c>
      <c r="P31" s="287">
        <v>5.0399529999999997</v>
      </c>
      <c r="Q31" s="272">
        <v>5.0399529999999997</v>
      </c>
      <c r="R31" s="274">
        <v>5.0399529999999997</v>
      </c>
      <c r="S31" s="262">
        <v>4.5</v>
      </c>
      <c r="T31" s="124">
        <f>(6/7)*100</f>
        <v>85.714285714285708</v>
      </c>
      <c r="U31" s="124">
        <f>(6/7)*100</f>
        <v>85.714285714285708</v>
      </c>
      <c r="V31" s="145">
        <f>(6/7)*100</f>
        <v>85.714285714285708</v>
      </c>
    </row>
    <row r="33" spans="10:18" x14ac:dyDescent="0.2">
      <c r="R33" s="256"/>
    </row>
    <row r="34" spans="10:18" x14ac:dyDescent="0.2">
      <c r="J34" s="224"/>
      <c r="Q34" s="256"/>
      <c r="R34" s="256"/>
    </row>
    <row r="35" spans="10:18" x14ac:dyDescent="0.2">
      <c r="Q35" s="256"/>
      <c r="R35" s="256"/>
    </row>
    <row r="36" spans="10:18" x14ac:dyDescent="0.2">
      <c r="Q36" s="256"/>
      <c r="R36" s="256"/>
    </row>
    <row r="37" spans="10:18" x14ac:dyDescent="0.2">
      <c r="Q37" s="256"/>
    </row>
    <row r="38" spans="10:18" x14ac:dyDescent="0.2">
      <c r="Q38" s="256"/>
    </row>
    <row r="39" spans="10:18" x14ac:dyDescent="0.2">
      <c r="Q39" s="256"/>
    </row>
    <row r="40" spans="10:18" x14ac:dyDescent="0.2">
      <c r="Q40" s="256"/>
    </row>
  </sheetData>
  <mergeCells count="36">
    <mergeCell ref="V24:V29"/>
    <mergeCell ref="Q27:Q29"/>
    <mergeCell ref="U27:U29"/>
    <mergeCell ref="U21:U23"/>
    <mergeCell ref="H24:H29"/>
    <mergeCell ref="Q24:Q26"/>
    <mergeCell ref="R24:R29"/>
    <mergeCell ref="S24:S29"/>
    <mergeCell ref="U24:U26"/>
    <mergeCell ref="V12:V17"/>
    <mergeCell ref="Q15:Q17"/>
    <mergeCell ref="U15:U17"/>
    <mergeCell ref="H18:H23"/>
    <mergeCell ref="Q18:Q20"/>
    <mergeCell ref="R18:R23"/>
    <mergeCell ref="S18:S23"/>
    <mergeCell ref="U18:U20"/>
    <mergeCell ref="V18:V23"/>
    <mergeCell ref="Q21:Q23"/>
    <mergeCell ref="H12:H17"/>
    <mergeCell ref="Q12:Q14"/>
    <mergeCell ref="R12:R17"/>
    <mergeCell ref="S12:S17"/>
    <mergeCell ref="U12:U14"/>
    <mergeCell ref="P1:R1"/>
    <mergeCell ref="S1:V1"/>
    <mergeCell ref="H3:H11"/>
    <mergeCell ref="Q3:Q5"/>
    <mergeCell ref="R3:R11"/>
    <mergeCell ref="S3:S11"/>
    <mergeCell ref="U3:U5"/>
    <mergeCell ref="V3:V11"/>
    <mergeCell ref="Q6:Q8"/>
    <mergeCell ref="U6:U8"/>
    <mergeCell ref="Q9:Q11"/>
    <mergeCell ref="U9:U11"/>
  </mergeCells>
  <pageMargins left="0.7" right="0.7" top="0.75" bottom="0.75" header="0.3" footer="0.3"/>
  <pageSetup paperSize="9" orientation="portrait" r:id="rId1"/>
  <ignoredErrors>
    <ignoredError sqref="T26 T21 T6:T14"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40"/>
  <sheetViews>
    <sheetView zoomScaleNormal="100" workbookViewId="0">
      <selection activeCell="K35" sqref="K35"/>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customWidth="1"/>
    <col min="9" max="9" width="10.42578125" customWidth="1"/>
    <col min="13" max="13" width="11.7109375" customWidth="1"/>
    <col min="14" max="14" width="11" customWidth="1"/>
    <col min="15" max="15" width="11.42578125" customWidth="1"/>
    <col min="16" max="17" width="11.28515625" customWidth="1"/>
    <col min="18" max="18" width="12.28515625" customWidth="1"/>
    <col min="19" max="19" width="13.85546875" style="171" customWidth="1"/>
    <col min="20" max="21" width="13" customWidth="1"/>
    <col min="22" max="22" width="14.7109375" customWidth="1"/>
  </cols>
  <sheetData>
    <row r="1" spans="1:22" ht="51" customHeight="1" x14ac:dyDescent="0.2">
      <c r="A1" s="275" t="s">
        <v>162</v>
      </c>
      <c r="H1" s="288" t="s">
        <v>163</v>
      </c>
      <c r="P1" s="371" t="s">
        <v>90</v>
      </c>
      <c r="Q1" s="371"/>
      <c r="R1" s="371"/>
      <c r="S1" s="447" t="s">
        <v>94</v>
      </c>
      <c r="T1" s="448"/>
      <c r="U1" s="448"/>
      <c r="V1" s="449"/>
    </row>
    <row r="2" spans="1:22" ht="51" x14ac:dyDescent="0.2">
      <c r="A2" s="74" t="s">
        <v>0</v>
      </c>
      <c r="B2" s="75" t="s">
        <v>1</v>
      </c>
      <c r="C2" s="74" t="s">
        <v>2</v>
      </c>
      <c r="D2" s="25" t="s">
        <v>89</v>
      </c>
      <c r="E2" s="74" t="s">
        <v>81</v>
      </c>
      <c r="F2" s="74" t="s">
        <v>4</v>
      </c>
      <c r="G2" s="74" t="s">
        <v>5</v>
      </c>
      <c r="H2" s="1" t="s">
        <v>85</v>
      </c>
      <c r="I2" s="25" t="s">
        <v>164</v>
      </c>
      <c r="J2" s="25" t="s">
        <v>165</v>
      </c>
      <c r="K2" s="25" t="s">
        <v>166</v>
      </c>
      <c r="L2" s="25" t="s">
        <v>167</v>
      </c>
      <c r="M2" s="25" t="s">
        <v>168</v>
      </c>
      <c r="N2" s="25" t="s">
        <v>169</v>
      </c>
      <c r="O2" s="25" t="s">
        <v>170</v>
      </c>
      <c r="P2" s="25" t="s">
        <v>71</v>
      </c>
      <c r="Q2" s="26" t="s">
        <v>72</v>
      </c>
      <c r="R2" s="26" t="s">
        <v>80</v>
      </c>
      <c r="S2" s="26" t="s">
        <v>107</v>
      </c>
      <c r="T2" s="146" t="s">
        <v>91</v>
      </c>
      <c r="U2" s="146" t="s">
        <v>92</v>
      </c>
      <c r="V2" s="146" t="s">
        <v>93</v>
      </c>
    </row>
    <row r="3" spans="1:22" x14ac:dyDescent="0.2">
      <c r="A3" s="183" t="s">
        <v>6</v>
      </c>
      <c r="B3" s="184" t="s">
        <v>9</v>
      </c>
      <c r="C3" s="184" t="s">
        <v>46</v>
      </c>
      <c r="D3" s="185">
        <v>8</v>
      </c>
      <c r="E3" s="186">
        <v>10080</v>
      </c>
      <c r="F3" s="187">
        <v>500</v>
      </c>
      <c r="G3" s="188">
        <v>3</v>
      </c>
      <c r="H3" s="424" t="s">
        <v>82</v>
      </c>
      <c r="I3" s="230">
        <v>3.9174060673984989</v>
      </c>
      <c r="J3" s="230">
        <v>5.5770888576188673</v>
      </c>
      <c r="K3" s="230">
        <v>4.807526420041869</v>
      </c>
      <c r="L3" s="230">
        <v>4.1039098294956666</v>
      </c>
      <c r="M3" s="230">
        <v>4.1427233441054776</v>
      </c>
      <c r="N3" s="230">
        <v>5.0877630867980308</v>
      </c>
      <c r="O3" s="290">
        <v>4.3866485428518605</v>
      </c>
      <c r="P3" s="253">
        <v>4.5747239999999998</v>
      </c>
      <c r="Q3" s="482">
        <v>4.4089999999999998</v>
      </c>
      <c r="R3" s="469">
        <v>4.6479999999999997</v>
      </c>
      <c r="S3" s="470">
        <v>5</v>
      </c>
      <c r="T3" s="124">
        <f>(2/7)*100</f>
        <v>28.571428571428569</v>
      </c>
      <c r="U3" s="432">
        <f>(4/19)*100</f>
        <v>21.052631578947366</v>
      </c>
      <c r="V3" s="429">
        <f>(17/57)*100</f>
        <v>29.82456140350877</v>
      </c>
    </row>
    <row r="4" spans="1:22" x14ac:dyDescent="0.2">
      <c r="A4" s="189" t="s">
        <v>6</v>
      </c>
      <c r="B4" s="190" t="s">
        <v>9</v>
      </c>
      <c r="C4" s="190" t="s">
        <v>46</v>
      </c>
      <c r="D4" s="191">
        <v>8</v>
      </c>
      <c r="E4" s="192">
        <v>20080</v>
      </c>
      <c r="F4" s="181">
        <v>926</v>
      </c>
      <c r="G4" s="193">
        <v>6</v>
      </c>
      <c r="H4" s="425"/>
      <c r="I4" s="230">
        <v>3.7565852381610862</v>
      </c>
      <c r="J4" s="230">
        <v>5.621053430879118</v>
      </c>
      <c r="K4" s="230">
        <v>4.2893260310466008</v>
      </c>
      <c r="L4" s="230">
        <v>4.2047849513672988</v>
      </c>
      <c r="M4" s="230">
        <v>4.6714461799824827</v>
      </c>
      <c r="N4" s="230">
        <v>4.3893815179830842</v>
      </c>
      <c r="O4" s="291"/>
      <c r="P4" s="253">
        <v>4.4887629999999996</v>
      </c>
      <c r="Q4" s="483"/>
      <c r="R4" s="469"/>
      <c r="S4" s="471"/>
      <c r="T4" s="124">
        <f>(1/6)*100</f>
        <v>16.666666666666664</v>
      </c>
      <c r="U4" s="433"/>
      <c r="V4" s="430"/>
    </row>
    <row r="5" spans="1:22" x14ac:dyDescent="0.2">
      <c r="A5" s="194" t="s">
        <v>6</v>
      </c>
      <c r="B5" s="195" t="s">
        <v>9</v>
      </c>
      <c r="C5" s="195" t="s">
        <v>46</v>
      </c>
      <c r="D5" s="196">
        <v>8</v>
      </c>
      <c r="E5" s="197">
        <v>30080</v>
      </c>
      <c r="F5" s="198">
        <v>3704</v>
      </c>
      <c r="G5" s="199">
        <v>13</v>
      </c>
      <c r="H5" s="425"/>
      <c r="I5" s="230">
        <v>3.5371455047681963</v>
      </c>
      <c r="J5" s="230">
        <v>5.4654101859587811</v>
      </c>
      <c r="K5" s="230">
        <v>3.392743574156909</v>
      </c>
      <c r="L5" s="230">
        <v>3.529483976349121</v>
      </c>
      <c r="M5" s="230">
        <v>4.1788858171711576</v>
      </c>
      <c r="N5" s="230">
        <v>4.712099851747916</v>
      </c>
      <c r="O5" s="291"/>
      <c r="P5" s="253">
        <v>4.1359620000000001</v>
      </c>
      <c r="Q5" s="484"/>
      <c r="R5" s="469"/>
      <c r="S5" s="471"/>
      <c r="T5" s="124">
        <f>(1/6)*100</f>
        <v>16.666666666666664</v>
      </c>
      <c r="U5" s="434"/>
      <c r="V5" s="430"/>
    </row>
    <row r="6" spans="1:22" x14ac:dyDescent="0.2">
      <c r="A6" s="183" t="s">
        <v>6</v>
      </c>
      <c r="B6" s="184" t="s">
        <v>12</v>
      </c>
      <c r="C6" s="184" t="s">
        <v>47</v>
      </c>
      <c r="D6" s="185">
        <v>24</v>
      </c>
      <c r="E6" s="186">
        <v>10240</v>
      </c>
      <c r="F6" s="187">
        <v>500</v>
      </c>
      <c r="G6" s="200">
        <v>4</v>
      </c>
      <c r="H6" s="425"/>
      <c r="I6" s="230">
        <v>3.8830409010085138</v>
      </c>
      <c r="J6" s="230">
        <v>5.7592523990208147</v>
      </c>
      <c r="K6" s="230">
        <v>5.4230385530560534</v>
      </c>
      <c r="L6" s="230">
        <v>4.3576538689175166</v>
      </c>
      <c r="M6" s="230">
        <v>4.3468516636045464</v>
      </c>
      <c r="N6" s="230">
        <v>5.4672881781220868</v>
      </c>
      <c r="O6" s="290">
        <v>4.8600561887179374</v>
      </c>
      <c r="P6" s="253">
        <v>4.8710259999999996</v>
      </c>
      <c r="Q6" s="482">
        <v>4.6420000000000003</v>
      </c>
      <c r="R6" s="469"/>
      <c r="S6" s="471"/>
      <c r="T6" s="124">
        <f>(3/7)*100</f>
        <v>42.857142857142854</v>
      </c>
      <c r="U6" s="432">
        <f>(6/19)*100</f>
        <v>31.578947368421051</v>
      </c>
      <c r="V6" s="430"/>
    </row>
    <row r="7" spans="1:22" x14ac:dyDescent="0.2">
      <c r="A7" s="189" t="s">
        <v>6</v>
      </c>
      <c r="B7" s="190" t="s">
        <v>12</v>
      </c>
      <c r="C7" s="190" t="s">
        <v>47</v>
      </c>
      <c r="D7" s="191">
        <v>24</v>
      </c>
      <c r="E7" s="192">
        <v>20240</v>
      </c>
      <c r="F7" s="181">
        <v>926</v>
      </c>
      <c r="G7" s="201">
        <v>7</v>
      </c>
      <c r="H7" s="425"/>
      <c r="I7" s="230">
        <v>4.8781507469961607</v>
      </c>
      <c r="J7" s="230">
        <v>5.5008922255902535</v>
      </c>
      <c r="K7" s="230">
        <v>4.861377564400108</v>
      </c>
      <c r="L7" s="230">
        <v>3.9976717982023078</v>
      </c>
      <c r="M7" s="230">
        <v>4.4303680562212202</v>
      </c>
      <c r="N7" s="230">
        <v>5.1414000233977371</v>
      </c>
      <c r="O7" s="291"/>
      <c r="P7" s="253">
        <v>4.8016430000000003</v>
      </c>
      <c r="Q7" s="483"/>
      <c r="R7" s="469"/>
      <c r="S7" s="471"/>
      <c r="T7" s="124">
        <f>(2/6)*100</f>
        <v>33.333333333333329</v>
      </c>
      <c r="U7" s="433"/>
      <c r="V7" s="430"/>
    </row>
    <row r="8" spans="1:22" x14ac:dyDescent="0.2">
      <c r="A8" s="194" t="s">
        <v>6</v>
      </c>
      <c r="B8" s="195" t="s">
        <v>12</v>
      </c>
      <c r="C8" s="195" t="s">
        <v>47</v>
      </c>
      <c r="D8" s="196">
        <v>24</v>
      </c>
      <c r="E8" s="197">
        <v>30240</v>
      </c>
      <c r="F8" s="198">
        <v>3704</v>
      </c>
      <c r="G8" s="199">
        <v>15</v>
      </c>
      <c r="H8" s="425"/>
      <c r="I8" s="230">
        <v>4.0268168148599859</v>
      </c>
      <c r="J8" s="230">
        <v>5.0046780199609842</v>
      </c>
      <c r="K8" s="230">
        <v>3.6721297266464301</v>
      </c>
      <c r="L8" s="230">
        <v>3.8134907969621068</v>
      </c>
      <c r="M8" s="230">
        <v>3.8589065795543771</v>
      </c>
      <c r="N8" s="230">
        <v>4.9224407892237378</v>
      </c>
      <c r="O8" s="291"/>
      <c r="P8" s="253">
        <v>4.2164109999999999</v>
      </c>
      <c r="Q8" s="484"/>
      <c r="R8" s="469"/>
      <c r="S8" s="471"/>
      <c r="T8" s="124">
        <f>(1/6)*100</f>
        <v>16.666666666666664</v>
      </c>
      <c r="U8" s="434"/>
      <c r="V8" s="430"/>
    </row>
    <row r="9" spans="1:22" x14ac:dyDescent="0.2">
      <c r="A9" s="183" t="s">
        <v>6</v>
      </c>
      <c r="B9" s="202" t="s">
        <v>13</v>
      </c>
      <c r="C9" s="184" t="s">
        <v>48</v>
      </c>
      <c r="D9" s="185">
        <v>40</v>
      </c>
      <c r="E9" s="186">
        <v>10400</v>
      </c>
      <c r="F9" s="187">
        <v>500</v>
      </c>
      <c r="G9" s="200">
        <v>3</v>
      </c>
      <c r="H9" s="425"/>
      <c r="I9" s="230">
        <v>4.1242887039720602</v>
      </c>
      <c r="J9" s="230">
        <v>5.7533060063248316</v>
      </c>
      <c r="K9" s="230">
        <v>4.6823508791045629</v>
      </c>
      <c r="L9" s="230">
        <v>5.3869683935912782</v>
      </c>
      <c r="M9" s="230">
        <v>4.819483921511142</v>
      </c>
      <c r="N9" s="230">
        <v>4.9433600773620192</v>
      </c>
      <c r="O9" s="290">
        <v>5.0291348166240715</v>
      </c>
      <c r="P9" s="253">
        <v>4.9626989999999997</v>
      </c>
      <c r="Q9" s="482">
        <v>4.8940000000000001</v>
      </c>
      <c r="R9" s="469"/>
      <c r="S9" s="471"/>
      <c r="T9" s="124">
        <f>(3/7)*100</f>
        <v>42.857142857142854</v>
      </c>
      <c r="U9" s="432">
        <f>(7/19)*100</f>
        <v>36.84210526315789</v>
      </c>
      <c r="V9" s="430"/>
    </row>
    <row r="10" spans="1:22" x14ac:dyDescent="0.2">
      <c r="A10" s="189" t="s">
        <v>6</v>
      </c>
      <c r="B10" s="203" t="s">
        <v>13</v>
      </c>
      <c r="C10" s="190" t="s">
        <v>48</v>
      </c>
      <c r="D10" s="191">
        <v>40</v>
      </c>
      <c r="E10" s="192">
        <v>20400</v>
      </c>
      <c r="F10" s="181">
        <v>926</v>
      </c>
      <c r="G10" s="201">
        <v>7</v>
      </c>
      <c r="H10" s="425"/>
      <c r="I10" s="230">
        <v>4.490504082435085</v>
      </c>
      <c r="J10" s="230">
        <v>5.7127358980409975</v>
      </c>
      <c r="K10" s="230">
        <v>4.8629637398050365</v>
      </c>
      <c r="L10" s="230">
        <v>5.2736829879508145</v>
      </c>
      <c r="M10" s="230">
        <v>4.2680107449669569</v>
      </c>
      <c r="N10" s="230">
        <v>5.0174968383445746</v>
      </c>
      <c r="O10" s="291"/>
      <c r="P10" s="253">
        <v>4.9375660000000003</v>
      </c>
      <c r="Q10" s="483"/>
      <c r="R10" s="469"/>
      <c r="S10" s="471"/>
      <c r="T10" s="124">
        <f>(3/6)*100</f>
        <v>50</v>
      </c>
      <c r="U10" s="433"/>
      <c r="V10" s="430"/>
    </row>
    <row r="11" spans="1:22" x14ac:dyDescent="0.2">
      <c r="A11" s="194" t="s">
        <v>6</v>
      </c>
      <c r="B11" s="204" t="s">
        <v>13</v>
      </c>
      <c r="C11" s="195" t="s">
        <v>48</v>
      </c>
      <c r="D11" s="196">
        <v>40</v>
      </c>
      <c r="E11" s="197">
        <v>30400</v>
      </c>
      <c r="F11" s="198">
        <v>3704</v>
      </c>
      <c r="G11" s="199">
        <v>13</v>
      </c>
      <c r="H11" s="426"/>
      <c r="I11" s="230">
        <v>4.2572027783655253</v>
      </c>
      <c r="J11" s="230">
        <v>5.2825006810213662</v>
      </c>
      <c r="K11" s="230">
        <v>4.762189628461261</v>
      </c>
      <c r="L11" s="230">
        <v>4.9383308895907412</v>
      </c>
      <c r="M11" s="230">
        <v>4.4360315756537272</v>
      </c>
      <c r="N11" s="230">
        <v>4.9438017749214707</v>
      </c>
      <c r="O11" s="291"/>
      <c r="P11" s="253">
        <v>4.7700100000000001</v>
      </c>
      <c r="Q11" s="483"/>
      <c r="R11" s="469"/>
      <c r="S11" s="472"/>
      <c r="T11" s="124">
        <f>(1/6)*100</f>
        <v>16.666666666666664</v>
      </c>
      <c r="U11" s="434"/>
      <c r="V11" s="431"/>
    </row>
    <row r="12" spans="1:22" x14ac:dyDescent="0.2">
      <c r="A12" s="183" t="s">
        <v>6</v>
      </c>
      <c r="B12" s="205" t="s">
        <v>50</v>
      </c>
      <c r="C12" s="205" t="s">
        <v>51</v>
      </c>
      <c r="D12" s="185">
        <v>53</v>
      </c>
      <c r="E12" s="186">
        <v>10530</v>
      </c>
      <c r="F12" s="187">
        <v>500</v>
      </c>
      <c r="G12" s="200">
        <v>6.5</v>
      </c>
      <c r="H12" s="424" t="s">
        <v>83</v>
      </c>
      <c r="I12" s="230">
        <v>5.7655665287815312</v>
      </c>
      <c r="J12" s="230">
        <v>4.7891688300557327</v>
      </c>
      <c r="K12" s="230">
        <v>4.9102236971427438</v>
      </c>
      <c r="L12" s="230">
        <v>4.8562873105483586</v>
      </c>
      <c r="M12" s="230">
        <v>4.550269157507878</v>
      </c>
      <c r="N12" s="230">
        <v>5.1806601486035637</v>
      </c>
      <c r="O12" s="290">
        <v>4.6214671685924671</v>
      </c>
      <c r="P12" s="253">
        <v>4.9533779999999998</v>
      </c>
      <c r="Q12" s="482">
        <v>4.609</v>
      </c>
      <c r="R12" s="457">
        <v>4.7530000000000001</v>
      </c>
      <c r="S12" s="470">
        <v>5</v>
      </c>
      <c r="T12" s="124">
        <f>(2/7)*100</f>
        <v>28.571428571428569</v>
      </c>
      <c r="U12" s="432">
        <f>(4/19)*100</f>
        <v>21.052631578947366</v>
      </c>
      <c r="V12" s="429">
        <f>(15/38)*100</f>
        <v>39.473684210526315</v>
      </c>
    </row>
    <row r="13" spans="1:22" x14ac:dyDescent="0.2">
      <c r="A13" s="189" t="s">
        <v>6</v>
      </c>
      <c r="B13" s="206" t="s">
        <v>50</v>
      </c>
      <c r="C13" s="206" t="s">
        <v>51</v>
      </c>
      <c r="D13" s="191">
        <v>53</v>
      </c>
      <c r="E13" s="192">
        <v>20530</v>
      </c>
      <c r="F13" s="181">
        <v>926</v>
      </c>
      <c r="G13" s="201">
        <v>7</v>
      </c>
      <c r="H13" s="425"/>
      <c r="I13" s="230">
        <v>4.9649953866684386</v>
      </c>
      <c r="J13" s="230">
        <v>4.3312779228455982</v>
      </c>
      <c r="K13" s="230">
        <v>4.9540927251447888</v>
      </c>
      <c r="L13" s="230">
        <v>4.4547526901979468</v>
      </c>
      <c r="M13" s="230">
        <v>3.7542901540576956</v>
      </c>
      <c r="N13" s="230">
        <v>5.0939871003252613</v>
      </c>
      <c r="O13" s="291"/>
      <c r="P13" s="253">
        <v>4.5922330000000002</v>
      </c>
      <c r="Q13" s="483"/>
      <c r="R13" s="457"/>
      <c r="S13" s="471"/>
      <c r="T13" s="124">
        <f>(1/6)*100</f>
        <v>16.666666666666664</v>
      </c>
      <c r="U13" s="433"/>
      <c r="V13" s="430"/>
    </row>
    <row r="14" spans="1:22" x14ac:dyDescent="0.2">
      <c r="A14" s="194" t="s">
        <v>6</v>
      </c>
      <c r="B14" s="207" t="s">
        <v>50</v>
      </c>
      <c r="C14" s="207" t="s">
        <v>51</v>
      </c>
      <c r="D14" s="196">
        <v>53</v>
      </c>
      <c r="E14" s="197">
        <v>30530</v>
      </c>
      <c r="F14" s="198">
        <v>3704</v>
      </c>
      <c r="G14" s="199">
        <v>14</v>
      </c>
      <c r="H14" s="425"/>
      <c r="I14" s="230">
        <v>3.496613696507338</v>
      </c>
      <c r="J14" s="230">
        <v>3.2901772451486573</v>
      </c>
      <c r="K14" s="230">
        <v>4.6935225978009116</v>
      </c>
      <c r="L14" s="230">
        <v>4.8486804609258947</v>
      </c>
      <c r="M14" s="230">
        <v>3.9634522233510783</v>
      </c>
      <c r="N14" s="230">
        <v>5.055820396512976</v>
      </c>
      <c r="O14" s="291"/>
      <c r="P14" s="253">
        <v>4.2247110000000001</v>
      </c>
      <c r="Q14" s="484"/>
      <c r="R14" s="457"/>
      <c r="S14" s="471"/>
      <c r="T14" s="124">
        <f>(1/6)*100</f>
        <v>16.666666666666664</v>
      </c>
      <c r="U14" s="434"/>
      <c r="V14" s="430"/>
    </row>
    <row r="15" spans="1:22" x14ac:dyDescent="0.2">
      <c r="A15" s="183" t="s">
        <v>6</v>
      </c>
      <c r="B15" s="205" t="s">
        <v>49</v>
      </c>
      <c r="C15" s="205" t="s">
        <v>52</v>
      </c>
      <c r="D15" s="185">
        <v>56</v>
      </c>
      <c r="E15" s="186">
        <v>10560</v>
      </c>
      <c r="F15" s="187">
        <v>500</v>
      </c>
      <c r="G15" s="200">
        <v>3.5</v>
      </c>
      <c r="H15" s="425"/>
      <c r="I15" s="230">
        <v>6.2961272738284526</v>
      </c>
      <c r="J15" s="230">
        <v>3.8242498107409371</v>
      </c>
      <c r="K15" s="230">
        <v>4.8043760984153092</v>
      </c>
      <c r="L15" s="230">
        <v>5.4372774950471578</v>
      </c>
      <c r="M15" s="230">
        <v>4.1602207154990714</v>
      </c>
      <c r="N15" s="230">
        <v>5.1227582681837207</v>
      </c>
      <c r="O15" s="290">
        <v>5.0833570896499571</v>
      </c>
      <c r="P15" s="253">
        <v>4.961195</v>
      </c>
      <c r="Q15" s="482">
        <v>4.8979999999999997</v>
      </c>
      <c r="R15" s="457"/>
      <c r="S15" s="471"/>
      <c r="T15" s="124">
        <f>(4/7)*100</f>
        <v>57.142857142857139</v>
      </c>
      <c r="U15" s="432">
        <f>(11/19)*100</f>
        <v>57.894736842105267</v>
      </c>
      <c r="V15" s="430"/>
    </row>
    <row r="16" spans="1:22" x14ac:dyDescent="0.2">
      <c r="A16" s="189" t="s">
        <v>6</v>
      </c>
      <c r="B16" s="206" t="s">
        <v>49</v>
      </c>
      <c r="C16" s="206" t="s">
        <v>52</v>
      </c>
      <c r="D16" s="191">
        <v>56</v>
      </c>
      <c r="E16" s="181">
        <v>20560</v>
      </c>
      <c r="F16" s="181">
        <v>926</v>
      </c>
      <c r="G16" s="201">
        <v>5</v>
      </c>
      <c r="H16" s="425"/>
      <c r="I16" s="230">
        <v>6.22123614985186</v>
      </c>
      <c r="J16" s="230">
        <v>4.2096040995895319</v>
      </c>
      <c r="K16" s="230">
        <v>5.5866798041294254</v>
      </c>
      <c r="L16" s="230">
        <v>5.785729608381847</v>
      </c>
      <c r="M16" s="230">
        <v>4.1913634651862886</v>
      </c>
      <c r="N16" s="230">
        <v>5.1156678280445123</v>
      </c>
      <c r="O16" s="291"/>
      <c r="P16" s="254">
        <v>5.185047</v>
      </c>
      <c r="Q16" s="483"/>
      <c r="R16" s="457"/>
      <c r="S16" s="471"/>
      <c r="T16" s="124">
        <f>(4/6)*100</f>
        <v>66.666666666666657</v>
      </c>
      <c r="U16" s="433"/>
      <c r="V16" s="430"/>
    </row>
    <row r="17" spans="1:22" x14ac:dyDescent="0.2">
      <c r="A17" s="194" t="s">
        <v>6</v>
      </c>
      <c r="B17" s="207" t="s">
        <v>49</v>
      </c>
      <c r="C17" s="207" t="s">
        <v>52</v>
      </c>
      <c r="D17" s="196">
        <v>56</v>
      </c>
      <c r="E17" s="198">
        <v>30560</v>
      </c>
      <c r="F17" s="198">
        <v>3704</v>
      </c>
      <c r="G17" s="199">
        <v>16</v>
      </c>
      <c r="H17" s="426"/>
      <c r="I17" s="230">
        <v>4.6271118081376326</v>
      </c>
      <c r="J17" s="230">
        <v>3.0057029426108097</v>
      </c>
      <c r="K17" s="230">
        <v>5.5559520094619019</v>
      </c>
      <c r="L17" s="230">
        <v>5.0185313440916968</v>
      </c>
      <c r="M17" s="230">
        <v>3.8839289418811891</v>
      </c>
      <c r="N17" s="230">
        <v>5.1228254873961685</v>
      </c>
      <c r="O17" s="291"/>
      <c r="P17" s="253">
        <v>4.5356759999999996</v>
      </c>
      <c r="Q17" s="483"/>
      <c r="R17" s="457"/>
      <c r="S17" s="472"/>
      <c r="T17" s="124">
        <f>(3/6)*100</f>
        <v>50</v>
      </c>
      <c r="U17" s="434"/>
      <c r="V17" s="431"/>
    </row>
    <row r="18" spans="1:22" x14ac:dyDescent="0.2">
      <c r="A18" s="183" t="s">
        <v>6</v>
      </c>
      <c r="B18" s="205" t="s">
        <v>16</v>
      </c>
      <c r="C18" s="205" t="s">
        <v>53</v>
      </c>
      <c r="D18" s="185">
        <v>64</v>
      </c>
      <c r="E18" s="187">
        <v>10640</v>
      </c>
      <c r="F18" s="187">
        <v>500</v>
      </c>
      <c r="G18" s="200">
        <v>6</v>
      </c>
      <c r="H18" s="359" t="s">
        <v>88</v>
      </c>
      <c r="I18" s="230">
        <v>6.6187987668603805</v>
      </c>
      <c r="J18" s="230">
        <v>4.2558206152509515</v>
      </c>
      <c r="K18" s="230">
        <v>5.3079331527156057</v>
      </c>
      <c r="L18" s="230">
        <v>6.1948698811726866</v>
      </c>
      <c r="M18" s="230">
        <v>5.1627981764050048</v>
      </c>
      <c r="N18" s="230">
        <v>5.2595904116934253</v>
      </c>
      <c r="O18" s="290">
        <v>5.8829231847006493</v>
      </c>
      <c r="P18" s="254">
        <v>5.5261050000000003</v>
      </c>
      <c r="Q18" s="485">
        <v>5.625</v>
      </c>
      <c r="R18" s="492">
        <v>5.625</v>
      </c>
      <c r="S18" s="359">
        <v>5</v>
      </c>
      <c r="T18" s="124">
        <f>(6/7)*100</f>
        <v>85.714285714285708</v>
      </c>
      <c r="U18" s="432">
        <f>(15/19)*100</f>
        <v>78.94736842105263</v>
      </c>
      <c r="V18" s="488">
        <f>(15/19)*100</f>
        <v>78.94736842105263</v>
      </c>
    </row>
    <row r="19" spans="1:22" x14ac:dyDescent="0.2">
      <c r="A19" s="189" t="s">
        <v>6</v>
      </c>
      <c r="B19" s="206" t="s">
        <v>16</v>
      </c>
      <c r="C19" s="206" t="s">
        <v>53</v>
      </c>
      <c r="D19" s="191">
        <v>64</v>
      </c>
      <c r="E19" s="181">
        <v>20640</v>
      </c>
      <c r="F19" s="181">
        <v>926</v>
      </c>
      <c r="G19" s="201">
        <v>10</v>
      </c>
      <c r="H19" s="360"/>
      <c r="I19" s="230">
        <v>6.1547040819502179</v>
      </c>
      <c r="J19" s="230">
        <v>4.2293738971214774</v>
      </c>
      <c r="K19" s="230">
        <v>4.9477277975135125</v>
      </c>
      <c r="L19" s="230">
        <v>6.4180327369610053</v>
      </c>
      <c r="M19" s="230">
        <v>6.3021009172747569</v>
      </c>
      <c r="N19" s="230">
        <v>5.0622599012564926</v>
      </c>
      <c r="O19" s="291"/>
      <c r="P19" s="254">
        <v>5.5190330000000003</v>
      </c>
      <c r="Q19" s="486"/>
      <c r="R19" s="493"/>
      <c r="S19" s="360"/>
      <c r="T19" s="124">
        <f>(4/6)*100</f>
        <v>66.666666666666657</v>
      </c>
      <c r="U19" s="433"/>
      <c r="V19" s="488"/>
    </row>
    <row r="20" spans="1:22" x14ac:dyDescent="0.2">
      <c r="A20" s="194" t="s">
        <v>6</v>
      </c>
      <c r="B20" s="207" t="s">
        <v>16</v>
      </c>
      <c r="C20" s="207" t="s">
        <v>53</v>
      </c>
      <c r="D20" s="196">
        <v>64</v>
      </c>
      <c r="E20" s="198">
        <v>30640</v>
      </c>
      <c r="F20" s="198">
        <v>3704</v>
      </c>
      <c r="G20" s="199">
        <v>19</v>
      </c>
      <c r="H20" s="360"/>
      <c r="I20" s="230">
        <v>6.4268180162070623</v>
      </c>
      <c r="J20" s="230">
        <v>5.6571636282539428</v>
      </c>
      <c r="K20" s="230">
        <v>4.6251593242509239</v>
      </c>
      <c r="L20" s="230">
        <v>6.8610950822419587</v>
      </c>
      <c r="M20" s="230">
        <v>6.1131953251016906</v>
      </c>
      <c r="N20" s="230">
        <v>5.3871410453658104</v>
      </c>
      <c r="O20" s="291"/>
      <c r="P20" s="254">
        <v>5.8450959999999998</v>
      </c>
      <c r="Q20" s="487"/>
      <c r="R20" s="493"/>
      <c r="S20" s="360"/>
      <c r="T20" s="124">
        <f>(5/6)*100</f>
        <v>83.333333333333343</v>
      </c>
      <c r="U20" s="434"/>
      <c r="V20" s="488"/>
    </row>
    <row r="21" spans="1:22" x14ac:dyDescent="0.2">
      <c r="A21" s="183" t="s">
        <v>19</v>
      </c>
      <c r="B21" s="205" t="s">
        <v>20</v>
      </c>
      <c r="C21" s="205" t="s">
        <v>54</v>
      </c>
      <c r="D21" s="185">
        <v>72</v>
      </c>
      <c r="E21" s="187">
        <v>10720</v>
      </c>
      <c r="F21" s="187">
        <v>500</v>
      </c>
      <c r="G21" s="200">
        <v>3</v>
      </c>
      <c r="H21" s="359" t="s">
        <v>84</v>
      </c>
      <c r="I21" s="230">
        <v>6.4407391933858049</v>
      </c>
      <c r="J21" s="230">
        <v>3.5923501194536374</v>
      </c>
      <c r="K21" s="230">
        <v>5.5627061787938006</v>
      </c>
      <c r="L21" s="230">
        <v>6.515537746588608</v>
      </c>
      <c r="M21" s="230">
        <v>5.2253794233458644</v>
      </c>
      <c r="N21" s="230">
        <v>4.9917136071165293</v>
      </c>
      <c r="O21" s="290">
        <v>5.2577436885658502</v>
      </c>
      <c r="P21" s="254">
        <v>5.369453</v>
      </c>
      <c r="Q21" s="485">
        <v>5.5389999999999997</v>
      </c>
      <c r="R21" s="463">
        <v>5.6660000000000004</v>
      </c>
      <c r="S21" s="399">
        <v>5</v>
      </c>
      <c r="T21" s="124">
        <f>(5/7)*100</f>
        <v>71.428571428571431</v>
      </c>
      <c r="U21" s="432">
        <f>(16/19)*100</f>
        <v>84.210526315789465</v>
      </c>
      <c r="V21" s="488">
        <f>(51/57)*100</f>
        <v>89.473684210526315</v>
      </c>
    </row>
    <row r="22" spans="1:22" x14ac:dyDescent="0.2">
      <c r="A22" s="189" t="s">
        <v>19</v>
      </c>
      <c r="B22" s="206" t="s">
        <v>20</v>
      </c>
      <c r="C22" s="206" t="s">
        <v>54</v>
      </c>
      <c r="D22" s="191">
        <v>72</v>
      </c>
      <c r="E22" s="181">
        <v>20720</v>
      </c>
      <c r="F22" s="181">
        <v>926</v>
      </c>
      <c r="G22" s="201">
        <v>6</v>
      </c>
      <c r="H22" s="360"/>
      <c r="I22" s="230">
        <v>6.1459418507851611</v>
      </c>
      <c r="J22" s="230">
        <v>4.4747274666784937</v>
      </c>
      <c r="K22" s="230">
        <v>5.5845009311730633</v>
      </c>
      <c r="L22" s="230">
        <v>6.3693822672559195</v>
      </c>
      <c r="M22" s="230">
        <v>5.5980190620969852</v>
      </c>
      <c r="N22" s="230">
        <v>5.3327632360145554</v>
      </c>
      <c r="O22" s="291"/>
      <c r="P22" s="254">
        <v>5.5842219999999996</v>
      </c>
      <c r="Q22" s="486"/>
      <c r="R22" s="463"/>
      <c r="S22" s="399"/>
      <c r="T22" s="124">
        <f>(5/6)*100</f>
        <v>83.333333333333343</v>
      </c>
      <c r="U22" s="433"/>
      <c r="V22" s="488"/>
    </row>
    <row r="23" spans="1:22" x14ac:dyDescent="0.2">
      <c r="A23" s="194" t="s">
        <v>19</v>
      </c>
      <c r="B23" s="207" t="s">
        <v>20</v>
      </c>
      <c r="C23" s="207" t="s">
        <v>54</v>
      </c>
      <c r="D23" s="196">
        <v>72</v>
      </c>
      <c r="E23" s="198">
        <v>30720</v>
      </c>
      <c r="F23" s="198">
        <v>3704</v>
      </c>
      <c r="G23" s="199">
        <v>14</v>
      </c>
      <c r="H23" s="360"/>
      <c r="I23" s="230">
        <v>6.7890956035376293</v>
      </c>
      <c r="J23" s="230">
        <v>5.3480703634291791</v>
      </c>
      <c r="K23" s="230">
        <v>5.0413596298474417</v>
      </c>
      <c r="L23" s="230">
        <v>6.019514039536328</v>
      </c>
      <c r="M23" s="230">
        <v>5.2084304463865623</v>
      </c>
      <c r="N23" s="230">
        <v>5.7418554856919917</v>
      </c>
      <c r="O23" s="291"/>
      <c r="P23" s="254">
        <v>5.6913879999999999</v>
      </c>
      <c r="Q23" s="486"/>
      <c r="R23" s="463"/>
      <c r="S23" s="399"/>
      <c r="T23" s="124">
        <f>(6/6)*100</f>
        <v>100</v>
      </c>
      <c r="U23" s="434"/>
      <c r="V23" s="488"/>
    </row>
    <row r="24" spans="1:22" x14ac:dyDescent="0.2">
      <c r="A24" s="183" t="s">
        <v>19</v>
      </c>
      <c r="B24" s="208" t="s">
        <v>24</v>
      </c>
      <c r="C24" s="208" t="s">
        <v>25</v>
      </c>
      <c r="D24" s="185">
        <v>601</v>
      </c>
      <c r="E24" s="209">
        <v>16010</v>
      </c>
      <c r="F24" s="187">
        <v>500</v>
      </c>
      <c r="G24" s="200">
        <v>6</v>
      </c>
      <c r="H24" s="360"/>
      <c r="I24" s="230">
        <v>5.6874941144235169</v>
      </c>
      <c r="J24" s="230">
        <v>5.4041823711132491</v>
      </c>
      <c r="K24" s="230">
        <v>5.4670965326267558</v>
      </c>
      <c r="L24" s="230">
        <v>5.995872572404684</v>
      </c>
      <c r="M24" s="230">
        <v>4.3837943129236452</v>
      </c>
      <c r="N24" s="230">
        <v>6.2156162282287761</v>
      </c>
      <c r="O24" s="290">
        <v>5.4180252445913766</v>
      </c>
      <c r="P24" s="254">
        <v>5.5102969999999996</v>
      </c>
      <c r="Q24" s="489">
        <v>5.49</v>
      </c>
      <c r="R24" s="463"/>
      <c r="S24" s="399"/>
      <c r="T24" s="124">
        <f>(6/7)*100</f>
        <v>85.714285714285708</v>
      </c>
      <c r="U24" s="432">
        <f>(16/19)*100</f>
        <v>84.210526315789465</v>
      </c>
      <c r="V24" s="488"/>
    </row>
    <row r="25" spans="1:22" x14ac:dyDescent="0.2">
      <c r="A25" s="189" t="s">
        <v>19</v>
      </c>
      <c r="B25" s="182" t="s">
        <v>24</v>
      </c>
      <c r="C25" s="182" t="s">
        <v>25</v>
      </c>
      <c r="D25" s="191">
        <v>601</v>
      </c>
      <c r="E25" s="210">
        <v>26010</v>
      </c>
      <c r="F25" s="181">
        <v>926</v>
      </c>
      <c r="G25" s="201">
        <v>16</v>
      </c>
      <c r="H25" s="360"/>
      <c r="I25" s="230">
        <v>4.2871939535478782</v>
      </c>
      <c r="J25" s="230">
        <v>5.7628612760304287</v>
      </c>
      <c r="K25" s="230">
        <v>5.3821899651599239</v>
      </c>
      <c r="L25" s="230">
        <v>5.8655591445968964</v>
      </c>
      <c r="M25" s="230">
        <v>4.4947201591250199</v>
      </c>
      <c r="N25" s="230">
        <v>6.548067864760907</v>
      </c>
      <c r="O25" s="291"/>
      <c r="P25" s="254">
        <v>5.3900990000000002</v>
      </c>
      <c r="Q25" s="490"/>
      <c r="R25" s="463"/>
      <c r="S25" s="399"/>
      <c r="T25" s="124">
        <f>(4/6)*100</f>
        <v>66.666666666666657</v>
      </c>
      <c r="U25" s="433"/>
      <c r="V25" s="488"/>
    </row>
    <row r="26" spans="1:22" x14ac:dyDescent="0.2">
      <c r="A26" s="194" t="s">
        <v>19</v>
      </c>
      <c r="B26" s="211" t="s">
        <v>24</v>
      </c>
      <c r="C26" s="211" t="s">
        <v>25</v>
      </c>
      <c r="D26" s="196">
        <v>601</v>
      </c>
      <c r="E26" s="212">
        <v>36010</v>
      </c>
      <c r="F26" s="198">
        <v>3704</v>
      </c>
      <c r="G26" s="199">
        <v>27</v>
      </c>
      <c r="H26" s="360"/>
      <c r="I26" s="230">
        <v>5.164362554267182</v>
      </c>
      <c r="J26" s="230">
        <v>5.329316566463338</v>
      </c>
      <c r="K26" s="230">
        <v>5.550430899105776</v>
      </c>
      <c r="L26" s="230">
        <v>5.9791127476201824</v>
      </c>
      <c r="M26" s="230">
        <v>5.7769135332342945</v>
      </c>
      <c r="N26" s="230">
        <v>5.6030860331752832</v>
      </c>
      <c r="O26" s="291"/>
      <c r="P26" s="254">
        <v>5.5672040000000003</v>
      </c>
      <c r="Q26" s="491"/>
      <c r="R26" s="463"/>
      <c r="S26" s="399"/>
      <c r="T26" s="124">
        <f>(6/6)*100</f>
        <v>100</v>
      </c>
      <c r="U26" s="434"/>
      <c r="V26" s="488"/>
    </row>
    <row r="27" spans="1:22" x14ac:dyDescent="0.2">
      <c r="A27" s="213" t="s">
        <v>19</v>
      </c>
      <c r="B27" s="208" t="s">
        <v>24</v>
      </c>
      <c r="C27" s="208" t="s">
        <v>78</v>
      </c>
      <c r="D27" s="185">
        <v>82</v>
      </c>
      <c r="E27" s="187">
        <v>10820</v>
      </c>
      <c r="F27" s="187">
        <v>500</v>
      </c>
      <c r="G27" s="200">
        <v>5</v>
      </c>
      <c r="H27" s="360"/>
      <c r="I27" s="230">
        <v>6.0560454349908612</v>
      </c>
      <c r="J27" s="230">
        <v>5.9870298912132585</v>
      </c>
      <c r="K27" s="289">
        <v>6.3773279699999996</v>
      </c>
      <c r="L27" s="230">
        <v>5.1708406306688621</v>
      </c>
      <c r="M27" s="230">
        <v>6.560458973122655</v>
      </c>
      <c r="N27" s="230">
        <v>6.1152862155723042</v>
      </c>
      <c r="O27" s="290">
        <v>5.6611467918420812</v>
      </c>
      <c r="P27" s="294">
        <v>6.0540339999999997</v>
      </c>
      <c r="Q27" s="489">
        <v>5.9690000000000003</v>
      </c>
      <c r="R27" s="463"/>
      <c r="S27" s="399"/>
      <c r="T27" s="124">
        <f>(7/7)*100</f>
        <v>100</v>
      </c>
      <c r="U27" s="432">
        <f>(19/19)*100</f>
        <v>100</v>
      </c>
      <c r="V27" s="488"/>
    </row>
    <row r="28" spans="1:22" x14ac:dyDescent="0.2">
      <c r="A28" s="214" t="s">
        <v>19</v>
      </c>
      <c r="B28" s="182" t="s">
        <v>24</v>
      </c>
      <c r="C28" s="182" t="s">
        <v>78</v>
      </c>
      <c r="D28" s="191">
        <v>82</v>
      </c>
      <c r="E28" s="181">
        <v>20820</v>
      </c>
      <c r="F28" s="181">
        <v>926</v>
      </c>
      <c r="G28" s="201">
        <v>7</v>
      </c>
      <c r="H28" s="360"/>
      <c r="I28" s="230">
        <v>5.878216415340459</v>
      </c>
      <c r="J28" s="230">
        <v>6.1622211575634802</v>
      </c>
      <c r="K28" s="230">
        <v>6.2329109864007028</v>
      </c>
      <c r="L28" s="230">
        <v>5.9461132433382096</v>
      </c>
      <c r="M28" s="230">
        <v>6.0042049095832271</v>
      </c>
      <c r="N28" s="230">
        <v>5.440101508733731</v>
      </c>
      <c r="O28" s="291"/>
      <c r="P28" s="254">
        <v>5.9439609999999998</v>
      </c>
      <c r="Q28" s="490"/>
      <c r="R28" s="463"/>
      <c r="S28" s="399"/>
      <c r="T28" s="124">
        <f>(6/6)*100</f>
        <v>100</v>
      </c>
      <c r="U28" s="433"/>
      <c r="V28" s="488"/>
    </row>
    <row r="29" spans="1:22" x14ac:dyDescent="0.2">
      <c r="A29" s="215" t="s">
        <v>19</v>
      </c>
      <c r="B29" s="211" t="s">
        <v>24</v>
      </c>
      <c r="C29" s="211" t="s">
        <v>78</v>
      </c>
      <c r="D29" s="196">
        <v>82</v>
      </c>
      <c r="E29" s="198">
        <v>30820</v>
      </c>
      <c r="F29" s="198">
        <v>3704</v>
      </c>
      <c r="G29" s="199">
        <v>15</v>
      </c>
      <c r="H29" s="361"/>
      <c r="I29" s="230">
        <v>6.7960626734480645</v>
      </c>
      <c r="J29" s="230">
        <v>5.499060775452679</v>
      </c>
      <c r="K29" s="230">
        <v>5.0398478689859365</v>
      </c>
      <c r="L29" s="230">
        <v>5.9558817797318913</v>
      </c>
      <c r="M29" s="230">
        <v>6.2236809399099995</v>
      </c>
      <c r="N29" s="230">
        <v>6.2964442249812151</v>
      </c>
      <c r="O29" s="291"/>
      <c r="P29" s="254">
        <v>5.968496</v>
      </c>
      <c r="Q29" s="490"/>
      <c r="R29" s="463"/>
      <c r="S29" s="399"/>
      <c r="T29" s="124">
        <f>(6/6)*100</f>
        <v>100</v>
      </c>
      <c r="U29" s="434"/>
      <c r="V29" s="488"/>
    </row>
    <row r="30" spans="1:22" ht="15" x14ac:dyDescent="0.2">
      <c r="A30" s="216" t="s">
        <v>6</v>
      </c>
      <c r="B30" s="161" t="s">
        <v>50</v>
      </c>
      <c r="C30" s="161" t="s">
        <v>106</v>
      </c>
      <c r="D30" s="241">
        <v>53</v>
      </c>
      <c r="E30" s="158">
        <v>40530</v>
      </c>
      <c r="F30" s="218">
        <v>8334</v>
      </c>
      <c r="G30" s="219">
        <v>18</v>
      </c>
      <c r="H30" s="222" t="s">
        <v>104</v>
      </c>
      <c r="I30" s="230">
        <v>3.9292327086083154</v>
      </c>
      <c r="J30" s="230">
        <v>4.5242749660942767</v>
      </c>
      <c r="K30" s="230">
        <v>4.6372679508072485</v>
      </c>
      <c r="L30" s="230">
        <v>4.4161741375628818</v>
      </c>
      <c r="M30" s="230">
        <v>3.9191231899908319</v>
      </c>
      <c r="N30" s="230">
        <v>4.8164713143396511</v>
      </c>
      <c r="O30" s="290">
        <v>4.6046487250515336</v>
      </c>
      <c r="P30" s="253">
        <v>4.4067420000000004</v>
      </c>
      <c r="Q30" s="292">
        <v>4.407</v>
      </c>
      <c r="R30" s="292">
        <v>4.407</v>
      </c>
      <c r="S30" s="262">
        <v>4.5</v>
      </c>
      <c r="T30" s="124">
        <f>(4/7)*100</f>
        <v>57.142857142857139</v>
      </c>
      <c r="U30" s="124">
        <f>(2/7)*100</f>
        <v>28.571428571428569</v>
      </c>
      <c r="V30" s="145">
        <f>(2/7)*100</f>
        <v>28.571428571428569</v>
      </c>
    </row>
    <row r="31" spans="1:22" ht="15" x14ac:dyDescent="0.2">
      <c r="A31" s="216" t="s">
        <v>19</v>
      </c>
      <c r="B31" s="161" t="s">
        <v>20</v>
      </c>
      <c r="C31" s="161" t="s">
        <v>54</v>
      </c>
      <c r="D31" s="196">
        <v>72</v>
      </c>
      <c r="E31" s="218">
        <v>40720</v>
      </c>
      <c r="F31" s="218">
        <v>7233</v>
      </c>
      <c r="G31" s="219">
        <v>21</v>
      </c>
      <c r="H31" s="223" t="s">
        <v>105</v>
      </c>
      <c r="I31" s="230">
        <v>6.4498538844686619</v>
      </c>
      <c r="J31" s="230">
        <v>4.4791458024790156</v>
      </c>
      <c r="K31" s="230">
        <v>5.1866324502173473</v>
      </c>
      <c r="L31" s="230">
        <v>4.6468771880365827</v>
      </c>
      <c r="M31" s="230">
        <v>5.2628705423641344</v>
      </c>
      <c r="N31" s="230">
        <v>4.657732767430419</v>
      </c>
      <c r="O31" s="290">
        <v>5.3427895518414799</v>
      </c>
      <c r="P31" s="254">
        <v>5.1465569999999996</v>
      </c>
      <c r="Q31" s="293">
        <v>5.1470000000000002</v>
      </c>
      <c r="R31" s="293">
        <v>5.1470000000000002</v>
      </c>
      <c r="S31" s="262">
        <v>4.5</v>
      </c>
      <c r="T31" s="124">
        <f>(6/7)*100</f>
        <v>85.714285714285708</v>
      </c>
      <c r="U31" s="124">
        <f>(6/7)*100</f>
        <v>85.714285714285708</v>
      </c>
      <c r="V31" s="145">
        <f>(6/7)*100</f>
        <v>85.714285714285708</v>
      </c>
    </row>
    <row r="33" spans="10:18" x14ac:dyDescent="0.2">
      <c r="R33" s="256"/>
    </row>
    <row r="34" spans="10:18" x14ac:dyDescent="0.2">
      <c r="J34" s="224"/>
      <c r="Q34" s="256"/>
      <c r="R34" s="256"/>
    </row>
    <row r="35" spans="10:18" x14ac:dyDescent="0.2">
      <c r="Q35" s="256"/>
      <c r="R35" s="256"/>
    </row>
    <row r="36" spans="10:18" x14ac:dyDescent="0.2">
      <c r="Q36" s="256"/>
      <c r="R36" s="256"/>
    </row>
    <row r="37" spans="10:18" x14ac:dyDescent="0.2">
      <c r="Q37" s="256"/>
    </row>
    <row r="38" spans="10:18" x14ac:dyDescent="0.2">
      <c r="Q38" s="256"/>
    </row>
    <row r="39" spans="10:18" x14ac:dyDescent="0.2">
      <c r="Q39" s="256"/>
    </row>
    <row r="40" spans="10:18" x14ac:dyDescent="0.2">
      <c r="Q40" s="256"/>
    </row>
  </sheetData>
  <mergeCells count="36">
    <mergeCell ref="H18:H20"/>
    <mergeCell ref="H21:H29"/>
    <mergeCell ref="R18:R20"/>
    <mergeCell ref="S18:S20"/>
    <mergeCell ref="R21:R29"/>
    <mergeCell ref="S21:S29"/>
    <mergeCell ref="Q21:Q23"/>
    <mergeCell ref="U21:U23"/>
    <mergeCell ref="Q24:Q26"/>
    <mergeCell ref="U24:U26"/>
    <mergeCell ref="V21:V29"/>
    <mergeCell ref="Q27:Q29"/>
    <mergeCell ref="U27:U29"/>
    <mergeCell ref="V12:V17"/>
    <mergeCell ref="Q15:Q17"/>
    <mergeCell ref="U15:U17"/>
    <mergeCell ref="Q18:Q20"/>
    <mergeCell ref="U18:U20"/>
    <mergeCell ref="V18:V20"/>
    <mergeCell ref="H12:H17"/>
    <mergeCell ref="Q12:Q14"/>
    <mergeCell ref="R12:R17"/>
    <mergeCell ref="S12:S17"/>
    <mergeCell ref="U12:U14"/>
    <mergeCell ref="P1:R1"/>
    <mergeCell ref="S1:V1"/>
    <mergeCell ref="H3:H11"/>
    <mergeCell ref="Q3:Q5"/>
    <mergeCell ref="R3:R11"/>
    <mergeCell ref="S3:S11"/>
    <mergeCell ref="U3:U5"/>
    <mergeCell ref="V3:V11"/>
    <mergeCell ref="Q6:Q8"/>
    <mergeCell ref="U6:U8"/>
    <mergeCell ref="Q9:Q11"/>
    <mergeCell ref="U9:U11"/>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41"/>
  <sheetViews>
    <sheetView topLeftCell="E1" zoomScaleNormal="100" workbookViewId="0">
      <selection activeCell="S34" sqref="S34"/>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customWidth="1"/>
    <col min="9" max="9" width="10.42578125" customWidth="1"/>
    <col min="13" max="13" width="11.7109375" customWidth="1"/>
    <col min="14" max="14" width="11" customWidth="1"/>
    <col min="15" max="15" width="11.42578125" customWidth="1"/>
    <col min="16" max="17" width="11.28515625" customWidth="1"/>
    <col min="18" max="18" width="12.28515625" customWidth="1"/>
    <col min="19" max="19" width="13.85546875" style="171" customWidth="1"/>
    <col min="20" max="21" width="13" customWidth="1"/>
    <col min="22" max="22" width="14.7109375" customWidth="1"/>
  </cols>
  <sheetData>
    <row r="1" spans="1:24" ht="51" customHeight="1" x14ac:dyDescent="0.2">
      <c r="A1" s="275" t="s">
        <v>162</v>
      </c>
      <c r="H1" s="288" t="s">
        <v>163</v>
      </c>
      <c r="P1" s="509" t="s">
        <v>90</v>
      </c>
      <c r="Q1" s="510"/>
      <c r="R1" s="511"/>
      <c r="S1" s="512" t="s">
        <v>94</v>
      </c>
      <c r="T1" s="513"/>
      <c r="U1" s="513"/>
      <c r="V1" s="514"/>
    </row>
    <row r="2" spans="1:24" ht="51" x14ac:dyDescent="0.2">
      <c r="A2" s="74" t="s">
        <v>0</v>
      </c>
      <c r="B2" s="75" t="s">
        <v>1</v>
      </c>
      <c r="C2" s="74" t="s">
        <v>2</v>
      </c>
      <c r="D2" s="25" t="s">
        <v>89</v>
      </c>
      <c r="E2" s="74" t="s">
        <v>81</v>
      </c>
      <c r="F2" s="74" t="s">
        <v>4</v>
      </c>
      <c r="G2" s="74" t="s">
        <v>5</v>
      </c>
      <c r="H2" s="1" t="s">
        <v>85</v>
      </c>
      <c r="I2" s="25" t="s">
        <v>183</v>
      </c>
      <c r="J2" s="1" t="s">
        <v>182</v>
      </c>
      <c r="K2" s="25" t="s">
        <v>181</v>
      </c>
      <c r="L2" s="25" t="s">
        <v>180</v>
      </c>
      <c r="M2" s="25" t="s">
        <v>179</v>
      </c>
      <c r="N2" s="25" t="s">
        <v>178</v>
      </c>
      <c r="O2" s="76" t="s">
        <v>177</v>
      </c>
      <c r="P2" s="303" t="s">
        <v>71</v>
      </c>
      <c r="Q2" s="26" t="s">
        <v>72</v>
      </c>
      <c r="R2" s="304" t="s">
        <v>80</v>
      </c>
      <c r="S2" s="303" t="s">
        <v>107</v>
      </c>
      <c r="T2" s="146" t="s">
        <v>91</v>
      </c>
      <c r="U2" s="146" t="s">
        <v>92</v>
      </c>
      <c r="V2" s="312" t="s">
        <v>93</v>
      </c>
    </row>
    <row r="3" spans="1:24" x14ac:dyDescent="0.2">
      <c r="A3" s="183" t="s">
        <v>6</v>
      </c>
      <c r="B3" s="184" t="s">
        <v>9</v>
      </c>
      <c r="C3" s="184" t="s">
        <v>46</v>
      </c>
      <c r="D3" s="185">
        <v>8</v>
      </c>
      <c r="E3" s="186">
        <v>10080</v>
      </c>
      <c r="F3" s="187">
        <v>500</v>
      </c>
      <c r="G3" s="188">
        <v>3</v>
      </c>
      <c r="H3" s="424" t="s">
        <v>82</v>
      </c>
      <c r="I3" s="298">
        <v>4.2625230567050219</v>
      </c>
      <c r="J3" s="298">
        <v>3.5667826502543765</v>
      </c>
      <c r="K3" s="298">
        <v>5.2248260340551358</v>
      </c>
      <c r="L3" s="298">
        <v>4.0841761374896599</v>
      </c>
      <c r="M3" s="298">
        <v>3.7766620493339182</v>
      </c>
      <c r="N3" s="298">
        <v>4.5047082865202448</v>
      </c>
      <c r="O3" s="300">
        <v>4.8390264583310509</v>
      </c>
      <c r="P3" s="308">
        <v>4.3226719999999998</v>
      </c>
      <c r="Q3" s="482">
        <v>4.077769</v>
      </c>
      <c r="R3" s="515">
        <v>4.2319230000000001</v>
      </c>
      <c r="S3" s="502">
        <v>5</v>
      </c>
      <c r="T3" s="124">
        <f>(1/7)*100</f>
        <v>14.285714285714285</v>
      </c>
      <c r="U3" s="432">
        <f>(2/21)*100</f>
        <v>9.5238095238095237</v>
      </c>
      <c r="V3" s="497">
        <f>(10/63)*100</f>
        <v>15.873015873015872</v>
      </c>
    </row>
    <row r="4" spans="1:24" x14ac:dyDescent="0.2">
      <c r="A4" s="189" t="s">
        <v>6</v>
      </c>
      <c r="B4" s="190" t="s">
        <v>9</v>
      </c>
      <c r="C4" s="190" t="s">
        <v>46</v>
      </c>
      <c r="D4" s="191">
        <v>8</v>
      </c>
      <c r="E4" s="192">
        <v>20080</v>
      </c>
      <c r="F4" s="181">
        <v>926</v>
      </c>
      <c r="G4" s="193">
        <v>6</v>
      </c>
      <c r="H4" s="425"/>
      <c r="I4" s="298">
        <v>4.6285972153513111</v>
      </c>
      <c r="J4" s="298">
        <v>2.3028012011623309</v>
      </c>
      <c r="K4" s="298">
        <v>5.1796721368184002</v>
      </c>
      <c r="L4" s="298">
        <v>3.2300301376151301</v>
      </c>
      <c r="M4" s="298">
        <v>3.7571449496524929</v>
      </c>
      <c r="N4" s="298">
        <v>3.8018151835126521</v>
      </c>
      <c r="O4" s="300">
        <v>4.6513716973281252</v>
      </c>
      <c r="P4" s="309">
        <v>3.9359190000000002</v>
      </c>
      <c r="Q4" s="483"/>
      <c r="R4" s="515"/>
      <c r="S4" s="503"/>
      <c r="T4" s="124">
        <f>(1/7)*100</f>
        <v>14.285714285714285</v>
      </c>
      <c r="U4" s="433"/>
      <c r="V4" s="498"/>
      <c r="X4" s="224"/>
    </row>
    <row r="5" spans="1:24" x14ac:dyDescent="0.2">
      <c r="A5" s="194" t="s">
        <v>6</v>
      </c>
      <c r="B5" s="195" t="s">
        <v>9</v>
      </c>
      <c r="C5" s="195" t="s">
        <v>46</v>
      </c>
      <c r="D5" s="196">
        <v>8</v>
      </c>
      <c r="E5" s="197">
        <v>30080</v>
      </c>
      <c r="F5" s="198">
        <v>3704</v>
      </c>
      <c r="G5" s="199">
        <v>13</v>
      </c>
      <c r="H5" s="425"/>
      <c r="I5" s="298">
        <v>4.5464274486650531</v>
      </c>
      <c r="J5" s="298">
        <v>3.4624025275041457</v>
      </c>
      <c r="K5" s="298">
        <v>4.9004905592397714</v>
      </c>
      <c r="L5" s="298">
        <v>3.5599453836386896</v>
      </c>
      <c r="M5" s="298">
        <v>3.3631297041497916</v>
      </c>
      <c r="N5" s="298">
        <v>3.8816426420726233</v>
      </c>
      <c r="O5" s="300">
        <v>4.1089835424167429</v>
      </c>
      <c r="P5" s="309">
        <v>3.9747170000000001</v>
      </c>
      <c r="Q5" s="484"/>
      <c r="R5" s="515"/>
      <c r="S5" s="503"/>
      <c r="T5" s="124">
        <f>(0/7)*100</f>
        <v>0</v>
      </c>
      <c r="U5" s="434"/>
      <c r="V5" s="498"/>
      <c r="X5" s="224"/>
    </row>
    <row r="6" spans="1:24" x14ac:dyDescent="0.2">
      <c r="A6" s="183" t="s">
        <v>6</v>
      </c>
      <c r="B6" s="184" t="s">
        <v>12</v>
      </c>
      <c r="C6" s="184" t="s">
        <v>47</v>
      </c>
      <c r="D6" s="185">
        <v>24</v>
      </c>
      <c r="E6" s="186">
        <v>10240</v>
      </c>
      <c r="F6" s="187">
        <v>500</v>
      </c>
      <c r="G6" s="200">
        <v>4</v>
      </c>
      <c r="H6" s="425"/>
      <c r="I6" s="298">
        <v>4.0582301958939233</v>
      </c>
      <c r="J6" s="298">
        <v>4.1203807064179605</v>
      </c>
      <c r="K6" s="298">
        <v>5.7092966844188711</v>
      </c>
      <c r="L6" s="298">
        <v>3.4799809544289704</v>
      </c>
      <c r="M6" s="298">
        <v>3.935166345891421</v>
      </c>
      <c r="N6" s="298">
        <v>5.6974578007435301</v>
      </c>
      <c r="O6" s="300">
        <v>4.5348854990635648</v>
      </c>
      <c r="P6" s="308">
        <v>4.5050569999999999</v>
      </c>
      <c r="Q6" s="482">
        <v>4.354768</v>
      </c>
      <c r="R6" s="515"/>
      <c r="S6" s="503"/>
      <c r="T6" s="124">
        <f>(2/7)*100</f>
        <v>28.571428571428569</v>
      </c>
      <c r="U6" s="432">
        <f>(4/21)*100</f>
        <v>19.047619047619047</v>
      </c>
      <c r="V6" s="498"/>
      <c r="X6" s="23"/>
    </row>
    <row r="7" spans="1:24" x14ac:dyDescent="0.2">
      <c r="A7" s="189" t="s">
        <v>6</v>
      </c>
      <c r="B7" s="190" t="s">
        <v>12</v>
      </c>
      <c r="C7" s="190" t="s">
        <v>47</v>
      </c>
      <c r="D7" s="191">
        <v>24</v>
      </c>
      <c r="E7" s="192">
        <v>20240</v>
      </c>
      <c r="F7" s="181">
        <v>926</v>
      </c>
      <c r="G7" s="201">
        <v>7</v>
      </c>
      <c r="H7" s="425"/>
      <c r="I7" s="298">
        <v>4.1627890045944307</v>
      </c>
      <c r="J7" s="298">
        <v>3.5022790280203386</v>
      </c>
      <c r="K7" s="298">
        <v>5.2739260760448206</v>
      </c>
      <c r="L7" s="298">
        <v>3.9283661449578475</v>
      </c>
      <c r="M7" s="298">
        <v>3.9725894848770502</v>
      </c>
      <c r="N7" s="298">
        <v>4.8212169149359365</v>
      </c>
      <c r="O7" s="300">
        <v>4.5874592626196993</v>
      </c>
      <c r="P7" s="308">
        <v>4.3212320000000002</v>
      </c>
      <c r="Q7" s="483"/>
      <c r="R7" s="515"/>
      <c r="S7" s="503"/>
      <c r="T7" s="124">
        <f>(1/7)*100</f>
        <v>14.285714285714285</v>
      </c>
      <c r="U7" s="433"/>
      <c r="V7" s="498"/>
      <c r="X7" s="23"/>
    </row>
    <row r="8" spans="1:24" x14ac:dyDescent="0.2">
      <c r="A8" s="194" t="s">
        <v>6</v>
      </c>
      <c r="B8" s="195" t="s">
        <v>12</v>
      </c>
      <c r="C8" s="195" t="s">
        <v>47</v>
      </c>
      <c r="D8" s="196">
        <v>24</v>
      </c>
      <c r="E8" s="197">
        <v>30240</v>
      </c>
      <c r="F8" s="198">
        <v>3704</v>
      </c>
      <c r="G8" s="199">
        <v>15</v>
      </c>
      <c r="H8" s="425"/>
      <c r="I8" s="298">
        <v>4.1914340776699079</v>
      </c>
      <c r="J8" s="298">
        <v>3.4683918272029297</v>
      </c>
      <c r="K8" s="298">
        <v>5.1439509723461265</v>
      </c>
      <c r="L8" s="298">
        <v>3.7971500809215364</v>
      </c>
      <c r="M8" s="298">
        <v>3.927734450697181</v>
      </c>
      <c r="N8" s="298">
        <v>4.5560003583170605</v>
      </c>
      <c r="O8" s="300">
        <v>4.581445813130907</v>
      </c>
      <c r="P8" s="308">
        <v>4.2380149999999999</v>
      </c>
      <c r="Q8" s="484"/>
      <c r="R8" s="515"/>
      <c r="S8" s="503"/>
      <c r="T8" s="124">
        <f>(1/7)*100</f>
        <v>14.285714285714285</v>
      </c>
      <c r="U8" s="434"/>
      <c r="V8" s="498"/>
      <c r="X8" s="23"/>
    </row>
    <row r="9" spans="1:24" x14ac:dyDescent="0.2">
      <c r="A9" s="183" t="s">
        <v>6</v>
      </c>
      <c r="B9" s="202" t="s">
        <v>13</v>
      </c>
      <c r="C9" s="184" t="s">
        <v>48</v>
      </c>
      <c r="D9" s="185">
        <v>40</v>
      </c>
      <c r="E9" s="186">
        <v>10400</v>
      </c>
      <c r="F9" s="187">
        <v>500</v>
      </c>
      <c r="G9" s="200">
        <v>3</v>
      </c>
      <c r="H9" s="425"/>
      <c r="I9" s="298">
        <v>3.2568905136306299</v>
      </c>
      <c r="J9" s="298">
        <v>3.4538097939096946</v>
      </c>
      <c r="K9" s="298">
        <v>5.8732494027157625</v>
      </c>
      <c r="L9" s="298">
        <v>4.4761600054218738</v>
      </c>
      <c r="M9" s="298">
        <v>4.3598100406111708</v>
      </c>
      <c r="N9" s="298">
        <v>4.9927697435667886</v>
      </c>
      <c r="O9" s="300">
        <v>4.4873274175746269</v>
      </c>
      <c r="P9" s="308">
        <v>4.414288</v>
      </c>
      <c r="Q9" s="482">
        <v>4.2632300000000001</v>
      </c>
      <c r="R9" s="515"/>
      <c r="S9" s="503"/>
      <c r="T9" s="124">
        <f>(1/7)*100</f>
        <v>14.285714285714285</v>
      </c>
      <c r="U9" s="432">
        <f>(4/21)*100</f>
        <v>19.047619047619047</v>
      </c>
      <c r="V9" s="498"/>
      <c r="X9" s="23"/>
    </row>
    <row r="10" spans="1:24" x14ac:dyDescent="0.2">
      <c r="A10" s="189" t="s">
        <v>6</v>
      </c>
      <c r="B10" s="203" t="s">
        <v>13</v>
      </c>
      <c r="C10" s="190" t="s">
        <v>48</v>
      </c>
      <c r="D10" s="191">
        <v>40</v>
      </c>
      <c r="E10" s="192">
        <v>20400</v>
      </c>
      <c r="F10" s="181">
        <v>926</v>
      </c>
      <c r="G10" s="201">
        <v>7</v>
      </c>
      <c r="H10" s="425"/>
      <c r="I10" s="298">
        <v>3.5122384364421828</v>
      </c>
      <c r="J10" s="298">
        <v>3.5174293287236509</v>
      </c>
      <c r="K10" s="298">
        <v>5.6126481219837956</v>
      </c>
      <c r="L10" s="298">
        <v>4.2771033505054028</v>
      </c>
      <c r="M10" s="298">
        <v>4.1178908871848598</v>
      </c>
      <c r="N10" s="298">
        <v>5.1542584677407319</v>
      </c>
      <c r="O10" s="300">
        <v>4.3475275996761562</v>
      </c>
      <c r="P10" s="308">
        <v>4.3627279999999997</v>
      </c>
      <c r="Q10" s="483"/>
      <c r="R10" s="515"/>
      <c r="S10" s="503"/>
      <c r="T10" s="124">
        <f>(2/7)*100</f>
        <v>28.571428571428569</v>
      </c>
      <c r="U10" s="433"/>
      <c r="V10" s="498"/>
      <c r="X10" s="23"/>
    </row>
    <row r="11" spans="1:24" x14ac:dyDescent="0.2">
      <c r="A11" s="194" t="s">
        <v>6</v>
      </c>
      <c r="B11" s="204" t="s">
        <v>13</v>
      </c>
      <c r="C11" s="195" t="s">
        <v>48</v>
      </c>
      <c r="D11" s="196">
        <v>40</v>
      </c>
      <c r="E11" s="197">
        <v>30400</v>
      </c>
      <c r="F11" s="198">
        <v>3704</v>
      </c>
      <c r="G11" s="199">
        <v>13</v>
      </c>
      <c r="H11" s="426"/>
      <c r="I11" s="298">
        <v>3.8699971117234164</v>
      </c>
      <c r="J11" s="298">
        <v>2.7033669288132454</v>
      </c>
      <c r="K11" s="298">
        <v>5.3189781100810798</v>
      </c>
      <c r="L11" s="298">
        <v>3.890172753179165</v>
      </c>
      <c r="M11" s="298">
        <v>3.9739974777456761</v>
      </c>
      <c r="N11" s="298">
        <v>3.7568364764228854</v>
      </c>
      <c r="O11" s="300">
        <v>4.5753647384240814</v>
      </c>
      <c r="P11" s="308">
        <v>4.0126730000000004</v>
      </c>
      <c r="Q11" s="483"/>
      <c r="R11" s="515"/>
      <c r="S11" s="508"/>
      <c r="T11" s="124">
        <f>(1/7)*100</f>
        <v>14.285714285714285</v>
      </c>
      <c r="U11" s="434"/>
      <c r="V11" s="499"/>
      <c r="X11" s="23"/>
    </row>
    <row r="12" spans="1:24" x14ac:dyDescent="0.2">
      <c r="A12" s="183" t="s">
        <v>6</v>
      </c>
      <c r="B12" s="205" t="s">
        <v>50</v>
      </c>
      <c r="C12" s="205" t="s">
        <v>51</v>
      </c>
      <c r="D12" s="185">
        <v>53</v>
      </c>
      <c r="E12" s="186">
        <v>10530</v>
      </c>
      <c r="F12" s="187">
        <v>500</v>
      </c>
      <c r="G12" s="200">
        <v>6.5</v>
      </c>
      <c r="H12" s="424" t="s">
        <v>83</v>
      </c>
      <c r="I12" s="298">
        <v>3.5883602378509822</v>
      </c>
      <c r="J12" s="298">
        <v>3.5975929687719952</v>
      </c>
      <c r="K12" s="298">
        <v>3.7889866267707362</v>
      </c>
      <c r="L12" s="298">
        <v>3.8381275318825199</v>
      </c>
      <c r="M12" s="298">
        <v>3.5421950176955685</v>
      </c>
      <c r="N12" s="298">
        <v>3.4748348277113204</v>
      </c>
      <c r="O12" s="300">
        <v>4.5168761862118814</v>
      </c>
      <c r="P12" s="309">
        <v>3.7638533424135723</v>
      </c>
      <c r="Q12" s="504">
        <v>3.9093399999999998</v>
      </c>
      <c r="R12" s="507">
        <v>3.9561449999999998</v>
      </c>
      <c r="S12" s="502">
        <v>5</v>
      </c>
      <c r="T12" s="124">
        <f>(0/7)*100</f>
        <v>0</v>
      </c>
      <c r="U12" s="432">
        <f>(0/21)*100</f>
        <v>0</v>
      </c>
      <c r="V12" s="497">
        <f>(1/42)*100</f>
        <v>2.3809523809523809</v>
      </c>
      <c r="X12" s="224"/>
    </row>
    <row r="13" spans="1:24" x14ac:dyDescent="0.2">
      <c r="A13" s="189" t="s">
        <v>6</v>
      </c>
      <c r="B13" s="206" t="s">
        <v>50</v>
      </c>
      <c r="C13" s="206" t="s">
        <v>51</v>
      </c>
      <c r="D13" s="191">
        <v>53</v>
      </c>
      <c r="E13" s="192">
        <v>20530</v>
      </c>
      <c r="F13" s="181">
        <v>926</v>
      </c>
      <c r="G13" s="201">
        <v>7</v>
      </c>
      <c r="H13" s="425"/>
      <c r="I13" s="298">
        <v>3.848230285410855</v>
      </c>
      <c r="J13" s="298">
        <v>3.3394002385698336</v>
      </c>
      <c r="K13" s="298">
        <v>3.4700112101529168</v>
      </c>
      <c r="L13" s="298">
        <v>4.6182183155957901</v>
      </c>
      <c r="M13" s="298">
        <v>3.7688056851996343</v>
      </c>
      <c r="N13" s="298">
        <v>3.9863832332490152</v>
      </c>
      <c r="O13" s="300">
        <v>4.4163007377630068</v>
      </c>
      <c r="P13" s="309">
        <v>3.9210500000000001</v>
      </c>
      <c r="Q13" s="505"/>
      <c r="R13" s="507"/>
      <c r="S13" s="503"/>
      <c r="T13" s="124">
        <f>(0/7)*100</f>
        <v>0</v>
      </c>
      <c r="U13" s="433"/>
      <c r="V13" s="498"/>
    </row>
    <row r="14" spans="1:24" x14ac:dyDescent="0.2">
      <c r="A14" s="194" t="s">
        <v>6</v>
      </c>
      <c r="B14" s="207" t="s">
        <v>50</v>
      </c>
      <c r="C14" s="207" t="s">
        <v>51</v>
      </c>
      <c r="D14" s="196">
        <v>53</v>
      </c>
      <c r="E14" s="197">
        <v>30530</v>
      </c>
      <c r="F14" s="198">
        <v>3704</v>
      </c>
      <c r="G14" s="199">
        <v>14</v>
      </c>
      <c r="H14" s="425"/>
      <c r="I14" s="298">
        <v>3.2592869711515737</v>
      </c>
      <c r="J14" s="298">
        <v>3.7723944515394288</v>
      </c>
      <c r="K14" s="298">
        <v>4.176889962141292</v>
      </c>
      <c r="L14" s="298">
        <v>4.719078379848197</v>
      </c>
      <c r="M14" s="298">
        <v>3.8387102401970528</v>
      </c>
      <c r="N14" s="298">
        <v>4.0989824715643826</v>
      </c>
      <c r="O14" s="300">
        <v>4.4364744927185908</v>
      </c>
      <c r="P14" s="308">
        <v>4.0431169999999996</v>
      </c>
      <c r="Q14" s="506"/>
      <c r="R14" s="507"/>
      <c r="S14" s="503"/>
      <c r="T14" s="124">
        <f>(0/7)*100</f>
        <v>0</v>
      </c>
      <c r="U14" s="434"/>
      <c r="V14" s="498"/>
      <c r="X14" s="299"/>
    </row>
    <row r="15" spans="1:24" x14ac:dyDescent="0.2">
      <c r="A15" s="183" t="s">
        <v>6</v>
      </c>
      <c r="B15" s="205" t="s">
        <v>49</v>
      </c>
      <c r="C15" s="205" t="s">
        <v>52</v>
      </c>
      <c r="D15" s="185">
        <v>56</v>
      </c>
      <c r="E15" s="186">
        <v>10560</v>
      </c>
      <c r="F15" s="187">
        <v>500</v>
      </c>
      <c r="G15" s="200">
        <v>3.5</v>
      </c>
      <c r="H15" s="425"/>
      <c r="I15" s="298">
        <v>2.7493386037723631</v>
      </c>
      <c r="J15" s="298">
        <v>4.3040010069601342</v>
      </c>
      <c r="K15" s="298">
        <v>4.0913583543044512</v>
      </c>
      <c r="L15" s="298">
        <v>4.1850539831371982</v>
      </c>
      <c r="M15" s="298">
        <v>4.3759026373131977</v>
      </c>
      <c r="N15" s="298">
        <v>2.6970649014192718</v>
      </c>
      <c r="O15" s="300">
        <v>4.3098559720325555</v>
      </c>
      <c r="P15" s="309">
        <v>3.8160820000000002</v>
      </c>
      <c r="Q15" s="482">
        <v>4.0029500000000002</v>
      </c>
      <c r="R15" s="507"/>
      <c r="S15" s="503"/>
      <c r="T15" s="124">
        <f>(0/7)*100</f>
        <v>0</v>
      </c>
      <c r="U15" s="432">
        <f>(1/21)*100</f>
        <v>4.7619047619047619</v>
      </c>
      <c r="V15" s="498"/>
      <c r="X15" s="299"/>
    </row>
    <row r="16" spans="1:24" x14ac:dyDescent="0.2">
      <c r="A16" s="189" t="s">
        <v>6</v>
      </c>
      <c r="B16" s="206" t="s">
        <v>49</v>
      </c>
      <c r="C16" s="206" t="s">
        <v>52</v>
      </c>
      <c r="D16" s="191">
        <v>56</v>
      </c>
      <c r="E16" s="181">
        <v>20560</v>
      </c>
      <c r="F16" s="181">
        <v>926</v>
      </c>
      <c r="G16" s="201">
        <v>5</v>
      </c>
      <c r="H16" s="425"/>
      <c r="I16" s="298">
        <v>3.4094887890189924</v>
      </c>
      <c r="J16" s="298">
        <v>3.8790475839847738</v>
      </c>
      <c r="K16" s="298">
        <v>4.3175633151242012</v>
      </c>
      <c r="L16" s="298">
        <v>3.825610306424525</v>
      </c>
      <c r="M16" s="298">
        <v>3.8176848361782412</v>
      </c>
      <c r="N16" s="298">
        <v>3.8553414768094774</v>
      </c>
      <c r="O16" s="300">
        <v>4.4114058270224712</v>
      </c>
      <c r="P16" s="309">
        <v>3.9308770000000002</v>
      </c>
      <c r="Q16" s="483"/>
      <c r="R16" s="507"/>
      <c r="S16" s="503"/>
      <c r="T16" s="124">
        <f>(0/7)*100</f>
        <v>0</v>
      </c>
      <c r="U16" s="433"/>
      <c r="V16" s="498"/>
      <c r="X16" s="299"/>
    </row>
    <row r="17" spans="1:24" x14ac:dyDescent="0.2">
      <c r="A17" s="194" t="s">
        <v>6</v>
      </c>
      <c r="B17" s="207" t="s">
        <v>49</v>
      </c>
      <c r="C17" s="207" t="s">
        <v>52</v>
      </c>
      <c r="D17" s="196">
        <v>56</v>
      </c>
      <c r="E17" s="198">
        <v>30560</v>
      </c>
      <c r="F17" s="198">
        <v>3704</v>
      </c>
      <c r="G17" s="199">
        <v>16</v>
      </c>
      <c r="H17" s="426"/>
      <c r="I17" s="298">
        <v>3.5508342140418669</v>
      </c>
      <c r="J17" s="298">
        <v>3.8410586447098449</v>
      </c>
      <c r="K17" s="298">
        <v>4.6291191195053631</v>
      </c>
      <c r="L17" s="298">
        <v>5.575976528797975</v>
      </c>
      <c r="M17" s="298">
        <v>3.4751985440451603</v>
      </c>
      <c r="N17" s="298">
        <v>4.2537200469302521</v>
      </c>
      <c r="O17" s="300">
        <v>4.5073235885706744</v>
      </c>
      <c r="P17" s="308">
        <v>4.2618900000000002</v>
      </c>
      <c r="Q17" s="483"/>
      <c r="R17" s="507"/>
      <c r="S17" s="508"/>
      <c r="T17" s="124">
        <f>(1/7)*100</f>
        <v>14.285714285714285</v>
      </c>
      <c r="U17" s="434"/>
      <c r="V17" s="499"/>
      <c r="X17" s="299"/>
    </row>
    <row r="18" spans="1:24" x14ac:dyDescent="0.2">
      <c r="A18" s="183" t="s">
        <v>6</v>
      </c>
      <c r="B18" s="205" t="s">
        <v>16</v>
      </c>
      <c r="C18" s="205" t="s">
        <v>53</v>
      </c>
      <c r="D18" s="185">
        <v>64</v>
      </c>
      <c r="E18" s="187">
        <v>10640</v>
      </c>
      <c r="F18" s="187">
        <v>500</v>
      </c>
      <c r="G18" s="200">
        <v>6</v>
      </c>
      <c r="H18" s="359" t="s">
        <v>88</v>
      </c>
      <c r="I18" s="298">
        <v>4.4610542403778606</v>
      </c>
      <c r="J18" s="298">
        <v>3.9145593145196207</v>
      </c>
      <c r="K18" s="298">
        <v>4.1918350302307168</v>
      </c>
      <c r="L18" s="298">
        <v>5.0887417117731166</v>
      </c>
      <c r="M18" s="298">
        <v>4.9546234922672987</v>
      </c>
      <c r="N18" s="298">
        <v>4.9792402118970616</v>
      </c>
      <c r="O18" s="300">
        <v>4.5647506452977984</v>
      </c>
      <c r="P18" s="308">
        <v>4.5935439999999996</v>
      </c>
      <c r="Q18" s="482">
        <v>4.6059229999999998</v>
      </c>
      <c r="R18" s="500">
        <v>4.6059229999999998</v>
      </c>
      <c r="S18" s="502">
        <v>5</v>
      </c>
      <c r="T18" s="124">
        <f>(1/7)*100</f>
        <v>14.285714285714285</v>
      </c>
      <c r="U18" s="432">
        <f>(3/21)*100</f>
        <v>14.285714285714285</v>
      </c>
      <c r="V18" s="494">
        <f>(3/21)*100</f>
        <v>14.285714285714285</v>
      </c>
      <c r="X18" s="299"/>
    </row>
    <row r="19" spans="1:24" x14ac:dyDescent="0.2">
      <c r="A19" s="189" t="s">
        <v>6</v>
      </c>
      <c r="B19" s="206" t="s">
        <v>16</v>
      </c>
      <c r="C19" s="206" t="s">
        <v>53</v>
      </c>
      <c r="D19" s="191">
        <v>64</v>
      </c>
      <c r="E19" s="181">
        <v>20640</v>
      </c>
      <c r="F19" s="181">
        <v>926</v>
      </c>
      <c r="G19" s="201">
        <v>10</v>
      </c>
      <c r="H19" s="360"/>
      <c r="I19" s="298">
        <v>4.5245929923489676</v>
      </c>
      <c r="J19" s="298">
        <v>4.6183662030137533</v>
      </c>
      <c r="K19" s="298">
        <v>5.2979223552744115</v>
      </c>
      <c r="L19" s="298">
        <v>4.5131869317483249</v>
      </c>
      <c r="M19" s="298">
        <v>4.3620756415705602</v>
      </c>
      <c r="N19" s="298">
        <v>4.7119444340727004</v>
      </c>
      <c r="O19" s="300">
        <v>5.2329658826740122</v>
      </c>
      <c r="P19" s="308">
        <v>4.7515790000000004</v>
      </c>
      <c r="Q19" s="483"/>
      <c r="R19" s="501"/>
      <c r="S19" s="503"/>
      <c r="T19" s="124">
        <f>(2/7)*100</f>
        <v>28.571428571428569</v>
      </c>
      <c r="U19" s="433"/>
      <c r="V19" s="494"/>
      <c r="X19" s="299"/>
    </row>
    <row r="20" spans="1:24" x14ac:dyDescent="0.2">
      <c r="A20" s="194" t="s">
        <v>6</v>
      </c>
      <c r="B20" s="207" t="s">
        <v>16</v>
      </c>
      <c r="C20" s="207" t="s">
        <v>53</v>
      </c>
      <c r="D20" s="196">
        <v>64</v>
      </c>
      <c r="E20" s="198">
        <v>30640</v>
      </c>
      <c r="F20" s="198">
        <v>3704</v>
      </c>
      <c r="G20" s="199">
        <v>19</v>
      </c>
      <c r="H20" s="360"/>
      <c r="I20" s="298">
        <v>4.4330509807456178</v>
      </c>
      <c r="J20" s="298">
        <v>3.8561638576285815</v>
      </c>
      <c r="K20" s="298">
        <v>4.9549986986591037</v>
      </c>
      <c r="L20" s="298">
        <v>4.9804192519408046</v>
      </c>
      <c r="M20" s="298">
        <v>4.0715244775444148</v>
      </c>
      <c r="N20" s="298">
        <v>4.2578023361914665</v>
      </c>
      <c r="O20" s="300">
        <v>4.7545729476622069</v>
      </c>
      <c r="P20" s="308">
        <v>4.4726480000000004</v>
      </c>
      <c r="Q20" s="484"/>
      <c r="R20" s="501"/>
      <c r="S20" s="503"/>
      <c r="T20" s="124">
        <f>(0/7)*100</f>
        <v>0</v>
      </c>
      <c r="U20" s="434"/>
      <c r="V20" s="494"/>
      <c r="X20" s="299"/>
    </row>
    <row r="21" spans="1:24" x14ac:dyDescent="0.2">
      <c r="A21" s="183" t="s">
        <v>19</v>
      </c>
      <c r="B21" s="205" t="s">
        <v>20</v>
      </c>
      <c r="C21" s="205" t="s">
        <v>54</v>
      </c>
      <c r="D21" s="185">
        <v>72</v>
      </c>
      <c r="E21" s="187">
        <v>10720</v>
      </c>
      <c r="F21" s="187">
        <v>500</v>
      </c>
      <c r="G21" s="200">
        <v>3</v>
      </c>
      <c r="H21" s="359" t="s">
        <v>84</v>
      </c>
      <c r="I21" s="298">
        <v>4.367166318666647</v>
      </c>
      <c r="J21" s="298">
        <v>3.5441238240921908</v>
      </c>
      <c r="K21" s="298">
        <v>5.8632942269310311</v>
      </c>
      <c r="L21" s="298">
        <v>5.6571123216203345</v>
      </c>
      <c r="M21" s="298">
        <v>5.51912902862873</v>
      </c>
      <c r="N21" s="298">
        <v>5.2231493360961503</v>
      </c>
      <c r="O21" s="300">
        <v>4.8518859974601192</v>
      </c>
      <c r="P21" s="310">
        <v>5.0036949999999996</v>
      </c>
      <c r="Q21" s="485">
        <v>5.0442229999999997</v>
      </c>
      <c r="R21" s="495">
        <v>5.2351890000000001</v>
      </c>
      <c r="S21" s="496">
        <v>5</v>
      </c>
      <c r="T21" s="124">
        <f>(4/7)*100</f>
        <v>57.142857142857139</v>
      </c>
      <c r="U21" s="432">
        <f>(12/21)*100</f>
        <v>57.142857142857139</v>
      </c>
      <c r="V21" s="494">
        <f>(43/63)*100</f>
        <v>68.253968253968253</v>
      </c>
      <c r="X21" s="299"/>
    </row>
    <row r="22" spans="1:24" x14ac:dyDescent="0.2">
      <c r="A22" s="189" t="s">
        <v>19</v>
      </c>
      <c r="B22" s="206" t="s">
        <v>20</v>
      </c>
      <c r="C22" s="206" t="s">
        <v>54</v>
      </c>
      <c r="D22" s="191">
        <v>72</v>
      </c>
      <c r="E22" s="181">
        <v>20720</v>
      </c>
      <c r="F22" s="181">
        <v>926</v>
      </c>
      <c r="G22" s="201">
        <v>6</v>
      </c>
      <c r="H22" s="360"/>
      <c r="I22" s="298">
        <v>4.80821663224582</v>
      </c>
      <c r="J22" s="298">
        <v>4.298901291904186</v>
      </c>
      <c r="K22" s="298">
        <v>5.9655719952794346</v>
      </c>
      <c r="L22" s="298">
        <v>5.33565423219477</v>
      </c>
      <c r="M22" s="298">
        <v>5.7773923281434172</v>
      </c>
      <c r="N22" s="298">
        <v>4.7461474019418217</v>
      </c>
      <c r="O22" s="300">
        <v>4.8442910177492857</v>
      </c>
      <c r="P22" s="310">
        <v>5.1108820000000001</v>
      </c>
      <c r="Q22" s="486"/>
      <c r="R22" s="495"/>
      <c r="S22" s="496"/>
      <c r="T22" s="124">
        <f>(3/7)*100</f>
        <v>42.857142857142854</v>
      </c>
      <c r="U22" s="433"/>
      <c r="V22" s="494"/>
      <c r="X22" s="299"/>
    </row>
    <row r="23" spans="1:24" x14ac:dyDescent="0.2">
      <c r="A23" s="194" t="s">
        <v>19</v>
      </c>
      <c r="B23" s="207" t="s">
        <v>20</v>
      </c>
      <c r="C23" s="207" t="s">
        <v>54</v>
      </c>
      <c r="D23" s="196">
        <v>72</v>
      </c>
      <c r="E23" s="198">
        <v>30720</v>
      </c>
      <c r="F23" s="198">
        <v>3704</v>
      </c>
      <c r="G23" s="199">
        <v>14</v>
      </c>
      <c r="H23" s="360"/>
      <c r="I23" s="298">
        <v>4.5473943991730517</v>
      </c>
      <c r="J23" s="298">
        <v>3.839262464448002</v>
      </c>
      <c r="K23" s="298">
        <v>5.8033989418973517</v>
      </c>
      <c r="L23" s="298">
        <v>5.5182214657703401</v>
      </c>
      <c r="M23" s="298">
        <v>5.1511351990198166</v>
      </c>
      <c r="N23" s="298">
        <v>5.2454112780441333</v>
      </c>
      <c r="O23" s="300">
        <v>5.0218247843540667</v>
      </c>
      <c r="P23" s="310">
        <v>5.0180930000000004</v>
      </c>
      <c r="Q23" s="486"/>
      <c r="R23" s="495"/>
      <c r="S23" s="496"/>
      <c r="T23" s="124">
        <f>(5/7)*100</f>
        <v>71.428571428571431</v>
      </c>
      <c r="U23" s="434"/>
      <c r="V23" s="494"/>
      <c r="X23" s="23"/>
    </row>
    <row r="24" spans="1:24" x14ac:dyDescent="0.2">
      <c r="A24" s="183" t="s">
        <v>19</v>
      </c>
      <c r="B24" s="208" t="s">
        <v>24</v>
      </c>
      <c r="C24" s="208" t="s">
        <v>25</v>
      </c>
      <c r="D24" s="185">
        <v>601</v>
      </c>
      <c r="E24" s="209">
        <v>16010</v>
      </c>
      <c r="F24" s="187">
        <v>500</v>
      </c>
      <c r="G24" s="200">
        <v>6</v>
      </c>
      <c r="H24" s="360"/>
      <c r="I24" s="298">
        <v>5.4732663107057453</v>
      </c>
      <c r="J24" s="298">
        <v>4.6400069717276757</v>
      </c>
      <c r="K24" s="298">
        <v>5.6238871727668096</v>
      </c>
      <c r="L24" s="298">
        <v>5.3163481402451627</v>
      </c>
      <c r="M24" s="298">
        <v>6.483464909014959</v>
      </c>
      <c r="N24" s="298">
        <v>6.6861146882125917</v>
      </c>
      <c r="O24" s="300">
        <v>5.4411405830684458</v>
      </c>
      <c r="P24" s="310">
        <v>5.6663180000000004</v>
      </c>
      <c r="Q24" s="489">
        <v>5.3143320000000003</v>
      </c>
      <c r="R24" s="495"/>
      <c r="S24" s="496"/>
      <c r="T24" s="124">
        <f>(6/7)*100</f>
        <v>85.714285714285708</v>
      </c>
      <c r="U24" s="432">
        <f>(15/21)*100</f>
        <v>71.428571428571431</v>
      </c>
      <c r="V24" s="494"/>
      <c r="X24" s="23"/>
    </row>
    <row r="25" spans="1:24" x14ac:dyDescent="0.2">
      <c r="A25" s="189" t="s">
        <v>19</v>
      </c>
      <c r="B25" s="182" t="s">
        <v>24</v>
      </c>
      <c r="C25" s="182" t="s">
        <v>25</v>
      </c>
      <c r="D25" s="191">
        <v>601</v>
      </c>
      <c r="E25" s="210">
        <v>26010</v>
      </c>
      <c r="F25" s="181">
        <v>926</v>
      </c>
      <c r="G25" s="201">
        <v>16</v>
      </c>
      <c r="H25" s="360"/>
      <c r="I25" s="298">
        <v>4.9794515353649347</v>
      </c>
      <c r="J25" s="298">
        <v>3.7709122753701649</v>
      </c>
      <c r="K25" s="298">
        <v>5.0132361951928814</v>
      </c>
      <c r="L25" s="298">
        <v>5.0209417595986583</v>
      </c>
      <c r="M25" s="298">
        <v>5.8209651349305815</v>
      </c>
      <c r="N25" s="298">
        <v>6.3025396600360537</v>
      </c>
      <c r="O25" s="300">
        <v>5.169146281101928</v>
      </c>
      <c r="P25" s="310">
        <v>5.1538849999999998</v>
      </c>
      <c r="Q25" s="490"/>
      <c r="R25" s="495"/>
      <c r="S25" s="496"/>
      <c r="T25" s="124">
        <f>(5/7)*100</f>
        <v>71.428571428571431</v>
      </c>
      <c r="U25" s="433"/>
      <c r="V25" s="494"/>
    </row>
    <row r="26" spans="1:24" x14ac:dyDescent="0.2">
      <c r="A26" s="194" t="s">
        <v>19</v>
      </c>
      <c r="B26" s="211" t="s">
        <v>24</v>
      </c>
      <c r="C26" s="211" t="s">
        <v>25</v>
      </c>
      <c r="D26" s="196">
        <v>601</v>
      </c>
      <c r="E26" s="212">
        <v>36010</v>
      </c>
      <c r="F26" s="198">
        <v>3704</v>
      </c>
      <c r="G26" s="199">
        <v>27</v>
      </c>
      <c r="H26" s="360"/>
      <c r="I26" s="298">
        <v>4.2382712785149526</v>
      </c>
      <c r="J26" s="298">
        <v>4.269364436298992</v>
      </c>
      <c r="K26" s="298">
        <v>4.5924764117403134</v>
      </c>
      <c r="L26" s="298">
        <v>5.4847542064394004</v>
      </c>
      <c r="M26" s="298">
        <v>5.8295107313805152</v>
      </c>
      <c r="N26" s="298">
        <v>5.91299265901932</v>
      </c>
      <c r="O26" s="300">
        <v>5.532194996310035</v>
      </c>
      <c r="P26" s="310">
        <v>5.122795</v>
      </c>
      <c r="Q26" s="491"/>
      <c r="R26" s="495"/>
      <c r="S26" s="496"/>
      <c r="T26" s="124">
        <f>(4/7)*100</f>
        <v>57.142857142857139</v>
      </c>
      <c r="U26" s="434"/>
      <c r="V26" s="494"/>
    </row>
    <row r="27" spans="1:24" x14ac:dyDescent="0.2">
      <c r="A27" s="213" t="s">
        <v>19</v>
      </c>
      <c r="B27" s="208" t="s">
        <v>24</v>
      </c>
      <c r="C27" s="208" t="s">
        <v>78</v>
      </c>
      <c r="D27" s="185">
        <v>82</v>
      </c>
      <c r="E27" s="187">
        <v>10820</v>
      </c>
      <c r="F27" s="187">
        <v>500</v>
      </c>
      <c r="G27" s="200">
        <v>5</v>
      </c>
      <c r="H27" s="360"/>
      <c r="I27" s="298">
        <v>5.081300680037975</v>
      </c>
      <c r="J27" s="298">
        <v>4.4824662936200346</v>
      </c>
      <c r="K27" s="298">
        <v>5.6856052509955584</v>
      </c>
      <c r="L27" s="298">
        <v>4.6192167645533573</v>
      </c>
      <c r="M27" s="298">
        <v>6.3032829250947158</v>
      </c>
      <c r="N27" s="298">
        <v>6.5129759000367651</v>
      </c>
      <c r="O27" s="300">
        <v>5.6310387737762468</v>
      </c>
      <c r="P27" s="310">
        <v>5.4736979999999997</v>
      </c>
      <c r="Q27" s="489">
        <v>5.3470129999999996</v>
      </c>
      <c r="R27" s="495"/>
      <c r="S27" s="496"/>
      <c r="T27" s="124">
        <f>(5/7)*100</f>
        <v>71.428571428571431</v>
      </c>
      <c r="U27" s="432">
        <f>(16/21)*100</f>
        <v>76.19047619047619</v>
      </c>
      <c r="V27" s="494"/>
    </row>
    <row r="28" spans="1:24" x14ac:dyDescent="0.2">
      <c r="A28" s="214" t="s">
        <v>19</v>
      </c>
      <c r="B28" s="182" t="s">
        <v>24</v>
      </c>
      <c r="C28" s="182" t="s">
        <v>78</v>
      </c>
      <c r="D28" s="191">
        <v>82</v>
      </c>
      <c r="E28" s="181">
        <v>20820</v>
      </c>
      <c r="F28" s="181">
        <v>926</v>
      </c>
      <c r="G28" s="201">
        <v>7</v>
      </c>
      <c r="H28" s="360"/>
      <c r="I28" s="298">
        <v>5.1004947030703178</v>
      </c>
      <c r="J28" s="298">
        <v>4.0666563833651628</v>
      </c>
      <c r="K28" s="298">
        <v>5.2664998553596281</v>
      </c>
      <c r="L28" s="298">
        <v>5.006310395193414</v>
      </c>
      <c r="M28" s="298">
        <v>6.1946652620266143</v>
      </c>
      <c r="N28" s="298">
        <v>6.4399651491054897</v>
      </c>
      <c r="O28" s="300">
        <v>5.0964620795376696</v>
      </c>
      <c r="P28" s="310">
        <v>5.3101510000000003</v>
      </c>
      <c r="Q28" s="490"/>
      <c r="R28" s="495"/>
      <c r="S28" s="496"/>
      <c r="T28" s="124">
        <f>(6/7)*100</f>
        <v>85.714285714285708</v>
      </c>
      <c r="U28" s="433"/>
      <c r="V28" s="494"/>
    </row>
    <row r="29" spans="1:24" x14ac:dyDescent="0.2">
      <c r="A29" s="215" t="s">
        <v>19</v>
      </c>
      <c r="B29" s="211" t="s">
        <v>24</v>
      </c>
      <c r="C29" s="211" t="s">
        <v>78</v>
      </c>
      <c r="D29" s="196">
        <v>82</v>
      </c>
      <c r="E29" s="198">
        <v>30820</v>
      </c>
      <c r="F29" s="198">
        <v>3704</v>
      </c>
      <c r="G29" s="199">
        <v>15</v>
      </c>
      <c r="H29" s="361"/>
      <c r="I29" s="298">
        <v>5.0094733251818422</v>
      </c>
      <c r="J29" s="298">
        <v>3.5535927869688386</v>
      </c>
      <c r="K29" s="298">
        <v>4.8033275643839293</v>
      </c>
      <c r="L29" s="298">
        <v>5.2294113787089005</v>
      </c>
      <c r="M29" s="298">
        <v>6.4477720816447857</v>
      </c>
      <c r="N29" s="298">
        <v>6.5978905270237425</v>
      </c>
      <c r="O29" s="300">
        <v>5.1588641473900845</v>
      </c>
      <c r="P29" s="310">
        <v>5.2571899999999996</v>
      </c>
      <c r="Q29" s="490"/>
      <c r="R29" s="495"/>
      <c r="S29" s="496"/>
      <c r="T29" s="124">
        <f>(5/7)*100</f>
        <v>71.428571428571431</v>
      </c>
      <c r="U29" s="434"/>
      <c r="V29" s="494"/>
    </row>
    <row r="30" spans="1:24" ht="15" x14ac:dyDescent="0.2">
      <c r="A30" s="216" t="s">
        <v>6</v>
      </c>
      <c r="B30" s="161" t="s">
        <v>50</v>
      </c>
      <c r="C30" s="161" t="s">
        <v>106</v>
      </c>
      <c r="D30" s="241">
        <v>53</v>
      </c>
      <c r="E30" s="158">
        <v>40530</v>
      </c>
      <c r="F30" s="218">
        <v>8334</v>
      </c>
      <c r="G30" s="219">
        <v>18</v>
      </c>
      <c r="H30" s="222" t="s">
        <v>104</v>
      </c>
      <c r="I30" s="298">
        <v>2.2062177597356714</v>
      </c>
      <c r="J30" s="298">
        <v>3.6121019295255072</v>
      </c>
      <c r="K30" s="298">
        <v>4.332057865869241</v>
      </c>
      <c r="L30" s="298">
        <v>4.930950989856675</v>
      </c>
      <c r="M30" s="298">
        <v>4.2096284980036591</v>
      </c>
      <c r="N30" s="298">
        <v>3.7217565064442004</v>
      </c>
      <c r="O30" s="300">
        <v>4.4547055917038172</v>
      </c>
      <c r="P30" s="309">
        <v>3.9239169999999999</v>
      </c>
      <c r="Q30" s="301">
        <v>3.9239169999999999</v>
      </c>
      <c r="R30" s="305">
        <v>3.9239169999999999</v>
      </c>
      <c r="S30" s="313">
        <v>4.5</v>
      </c>
      <c r="T30" s="124">
        <f>(1/7)*100</f>
        <v>14.285714285714285</v>
      </c>
      <c r="U30" s="124">
        <f>(1/7)*100</f>
        <v>14.285714285714285</v>
      </c>
      <c r="V30" s="314">
        <f>(1/7)*100</f>
        <v>14.285714285714285</v>
      </c>
    </row>
    <row r="31" spans="1:24" ht="15.75" thickBot="1" x14ac:dyDescent="0.25">
      <c r="A31" s="216" t="s">
        <v>19</v>
      </c>
      <c r="B31" s="161" t="s">
        <v>20</v>
      </c>
      <c r="C31" s="161" t="s">
        <v>54</v>
      </c>
      <c r="D31" s="196">
        <v>72</v>
      </c>
      <c r="E31" s="218">
        <v>40720</v>
      </c>
      <c r="F31" s="218">
        <v>7233</v>
      </c>
      <c r="G31" s="219">
        <v>21</v>
      </c>
      <c r="H31" s="223" t="s">
        <v>105</v>
      </c>
      <c r="I31" s="298">
        <v>4.6549840213958493</v>
      </c>
      <c r="J31" s="298">
        <v>3.8418109435428378</v>
      </c>
      <c r="K31" s="298">
        <v>5.558389665850255</v>
      </c>
      <c r="L31" s="298">
        <v>4.8463671610891517</v>
      </c>
      <c r="M31" s="298">
        <v>5.3678146040973083</v>
      </c>
      <c r="N31" s="298">
        <v>4.7182590242421973</v>
      </c>
      <c r="O31" s="300">
        <v>4.7179529713301944</v>
      </c>
      <c r="P31" s="311">
        <v>4.81508262736397</v>
      </c>
      <c r="Q31" s="306">
        <v>4.81508262736397</v>
      </c>
      <c r="R31" s="307">
        <v>4.8150829999999996</v>
      </c>
      <c r="S31" s="315">
        <v>4.5</v>
      </c>
      <c r="T31" s="316">
        <f>(6/7)*100</f>
        <v>85.714285714285708</v>
      </c>
      <c r="U31" s="316">
        <f>(6/7)*100</f>
        <v>85.714285714285708</v>
      </c>
      <c r="V31" s="317">
        <f>(6/7)*100</f>
        <v>85.714285714285708</v>
      </c>
    </row>
    <row r="33" spans="10:18" x14ac:dyDescent="0.2">
      <c r="R33" s="256"/>
    </row>
    <row r="34" spans="10:18" x14ac:dyDescent="0.2">
      <c r="J34" s="224"/>
      <c r="Q34" s="256"/>
      <c r="R34" s="256"/>
    </row>
    <row r="35" spans="10:18" x14ac:dyDescent="0.2">
      <c r="K35" s="299"/>
      <c r="L35" s="299"/>
      <c r="Q35" s="256"/>
      <c r="R35" s="256"/>
    </row>
    <row r="36" spans="10:18" x14ac:dyDescent="0.2">
      <c r="K36" s="299"/>
      <c r="L36" s="299"/>
      <c r="Q36" s="256"/>
      <c r="R36" s="256"/>
    </row>
    <row r="37" spans="10:18" x14ac:dyDescent="0.2">
      <c r="K37" s="299"/>
      <c r="L37" s="299"/>
      <c r="Q37" s="256"/>
    </row>
    <row r="38" spans="10:18" x14ac:dyDescent="0.2">
      <c r="K38" s="299"/>
      <c r="L38" s="299"/>
      <c r="Q38" s="256"/>
    </row>
    <row r="39" spans="10:18" x14ac:dyDescent="0.2">
      <c r="K39" s="299"/>
      <c r="L39" s="299"/>
      <c r="Q39" s="256"/>
    </row>
    <row r="40" spans="10:18" x14ac:dyDescent="0.2">
      <c r="K40" s="299"/>
      <c r="L40" s="299"/>
      <c r="Q40" s="256"/>
    </row>
    <row r="41" spans="10:18" x14ac:dyDescent="0.2">
      <c r="K41" s="299"/>
      <c r="L41" s="299"/>
    </row>
  </sheetData>
  <mergeCells count="36">
    <mergeCell ref="P1:R1"/>
    <mergeCell ref="S1:V1"/>
    <mergeCell ref="H3:H11"/>
    <mergeCell ref="Q3:Q5"/>
    <mergeCell ref="R3:R11"/>
    <mergeCell ref="S3:S11"/>
    <mergeCell ref="U3:U5"/>
    <mergeCell ref="V3:V11"/>
    <mergeCell ref="Q6:Q8"/>
    <mergeCell ref="U6:U8"/>
    <mergeCell ref="Q9:Q11"/>
    <mergeCell ref="U9:U11"/>
    <mergeCell ref="V12:V17"/>
    <mergeCell ref="Q15:Q17"/>
    <mergeCell ref="U15:U17"/>
    <mergeCell ref="H18:H20"/>
    <mergeCell ref="Q18:Q20"/>
    <mergeCell ref="R18:R20"/>
    <mergeCell ref="S18:S20"/>
    <mergeCell ref="U18:U20"/>
    <mergeCell ref="V18:V20"/>
    <mergeCell ref="H12:H17"/>
    <mergeCell ref="Q12:Q14"/>
    <mergeCell ref="R12:R17"/>
    <mergeCell ref="S12:S17"/>
    <mergeCell ref="U12:U14"/>
    <mergeCell ref="H21:H29"/>
    <mergeCell ref="Q21:Q23"/>
    <mergeCell ref="R21:R29"/>
    <mergeCell ref="S21:S29"/>
    <mergeCell ref="U21:U23"/>
    <mergeCell ref="V21:V29"/>
    <mergeCell ref="Q24:Q26"/>
    <mergeCell ref="U24:U26"/>
    <mergeCell ref="Q27:Q29"/>
    <mergeCell ref="U27:U29"/>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W40"/>
  <sheetViews>
    <sheetView topLeftCell="F1" zoomScaleNormal="100" workbookViewId="0">
      <selection activeCell="P35" sqref="P35"/>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customWidth="1"/>
    <col min="9" max="9" width="10.42578125" customWidth="1"/>
    <col min="10" max="10" width="11.28515625" customWidth="1"/>
    <col min="13" max="13" width="10" customWidth="1"/>
    <col min="14" max="14" width="11" customWidth="1"/>
    <col min="15" max="15" width="13.42578125" customWidth="1"/>
    <col min="16" max="17" width="11.28515625" customWidth="1"/>
    <col min="18" max="18" width="12.28515625" customWidth="1"/>
    <col min="19" max="19" width="13.85546875" style="171" customWidth="1"/>
    <col min="20" max="21" width="13" customWidth="1"/>
    <col min="22" max="22" width="14.7109375" customWidth="1"/>
  </cols>
  <sheetData>
    <row r="1" spans="1:22" ht="51" customHeight="1" x14ac:dyDescent="0.2">
      <c r="A1" s="275" t="s">
        <v>162</v>
      </c>
      <c r="H1" s="288" t="s">
        <v>163</v>
      </c>
      <c r="P1" s="509" t="s">
        <v>90</v>
      </c>
      <c r="Q1" s="510"/>
      <c r="R1" s="511"/>
      <c r="S1" s="512" t="s">
        <v>94</v>
      </c>
      <c r="T1" s="513"/>
      <c r="U1" s="513"/>
      <c r="V1" s="514"/>
    </row>
    <row r="2" spans="1:22" ht="51" x14ac:dyDescent="0.2">
      <c r="A2" s="74" t="s">
        <v>0</v>
      </c>
      <c r="B2" s="75" t="s">
        <v>1</v>
      </c>
      <c r="C2" s="74" t="s">
        <v>2</v>
      </c>
      <c r="D2" s="25" t="s">
        <v>89</v>
      </c>
      <c r="E2" s="74" t="s">
        <v>81</v>
      </c>
      <c r="F2" s="74" t="s">
        <v>4</v>
      </c>
      <c r="G2" s="74" t="s">
        <v>5</v>
      </c>
      <c r="H2" s="1" t="s">
        <v>85</v>
      </c>
      <c r="I2" s="25" t="s">
        <v>184</v>
      </c>
      <c r="J2" s="74" t="s">
        <v>185</v>
      </c>
      <c r="K2" s="25" t="s">
        <v>190</v>
      </c>
      <c r="L2" s="25" t="s">
        <v>189</v>
      </c>
      <c r="M2" s="25" t="s">
        <v>188</v>
      </c>
      <c r="N2" s="25" t="s">
        <v>187</v>
      </c>
      <c r="O2" s="76" t="s">
        <v>186</v>
      </c>
      <c r="P2" s="303" t="s">
        <v>71</v>
      </c>
      <c r="Q2" s="26" t="s">
        <v>72</v>
      </c>
      <c r="R2" s="304" t="s">
        <v>80</v>
      </c>
      <c r="S2" s="303" t="s">
        <v>107</v>
      </c>
      <c r="T2" s="146" t="s">
        <v>91</v>
      </c>
      <c r="U2" s="146" t="s">
        <v>92</v>
      </c>
      <c r="V2" s="312" t="s">
        <v>93</v>
      </c>
    </row>
    <row r="3" spans="1:22" ht="15" x14ac:dyDescent="0.25">
      <c r="A3" s="183" t="s">
        <v>6</v>
      </c>
      <c r="B3" s="184" t="s">
        <v>9</v>
      </c>
      <c r="C3" s="184" t="s">
        <v>46</v>
      </c>
      <c r="D3" s="185">
        <v>8</v>
      </c>
      <c r="E3" s="186">
        <v>10080</v>
      </c>
      <c r="F3" s="187">
        <v>500</v>
      </c>
      <c r="G3" s="188">
        <v>3</v>
      </c>
      <c r="H3" s="424" t="s">
        <v>82</v>
      </c>
      <c r="I3" s="221">
        <v>3.345392864662434</v>
      </c>
      <c r="J3" s="221">
        <v>4.721407854592659</v>
      </c>
      <c r="K3" s="221">
        <v>4.6567931645569001</v>
      </c>
      <c r="L3" s="221">
        <v>3.6885902281246228</v>
      </c>
      <c r="M3" s="221">
        <v>2.562478245580142</v>
      </c>
      <c r="N3" s="221">
        <v>3.6242628885473849</v>
      </c>
      <c r="O3" s="330">
        <v>5.0711540478236543</v>
      </c>
      <c r="P3" s="323">
        <v>3.9528684705554</v>
      </c>
      <c r="Q3" s="504">
        <v>3.9538348659956428</v>
      </c>
      <c r="R3" s="515">
        <v>4.0885623075843798</v>
      </c>
      <c r="S3" s="502">
        <v>5</v>
      </c>
      <c r="T3" s="124">
        <f>(1/7)*100</f>
        <v>14.285714285714285</v>
      </c>
      <c r="U3" s="432">
        <f>(2/21)*100</f>
        <v>9.5238095238095237</v>
      </c>
      <c r="V3" s="497">
        <f>(11/63)*100</f>
        <v>17.460317460317459</v>
      </c>
    </row>
    <row r="4" spans="1:22" ht="15" x14ac:dyDescent="0.25">
      <c r="A4" s="189" t="s">
        <v>6</v>
      </c>
      <c r="B4" s="190" t="s">
        <v>9</v>
      </c>
      <c r="C4" s="190" t="s">
        <v>46</v>
      </c>
      <c r="D4" s="191">
        <v>8</v>
      </c>
      <c r="E4" s="192">
        <v>20080</v>
      </c>
      <c r="F4" s="181">
        <v>926</v>
      </c>
      <c r="G4" s="193">
        <v>6</v>
      </c>
      <c r="H4" s="425"/>
      <c r="I4" s="221">
        <v>3.6400099311874197</v>
      </c>
      <c r="J4" s="221">
        <v>4.8593455742355731</v>
      </c>
      <c r="K4" s="221">
        <v>4.3488766661056868</v>
      </c>
      <c r="L4" s="221">
        <v>3.071397234384543</v>
      </c>
      <c r="M4" s="221">
        <v>3.885136092711079</v>
      </c>
      <c r="N4" s="221">
        <v>3.7107439139519167</v>
      </c>
      <c r="O4" s="330">
        <v>5.0050429916913144</v>
      </c>
      <c r="P4" s="324">
        <v>4.0743646291810762</v>
      </c>
      <c r="Q4" s="505"/>
      <c r="R4" s="515"/>
      <c r="S4" s="503"/>
      <c r="T4" s="124">
        <f>(1/7)*100</f>
        <v>14.285714285714285</v>
      </c>
      <c r="U4" s="433"/>
      <c r="V4" s="498"/>
    </row>
    <row r="5" spans="1:22" ht="15" x14ac:dyDescent="0.25">
      <c r="A5" s="194" t="s">
        <v>6</v>
      </c>
      <c r="B5" s="195" t="s">
        <v>9</v>
      </c>
      <c r="C5" s="195" t="s">
        <v>46</v>
      </c>
      <c r="D5" s="196">
        <v>8</v>
      </c>
      <c r="E5" s="197">
        <v>30080</v>
      </c>
      <c r="F5" s="198">
        <v>3704</v>
      </c>
      <c r="G5" s="199">
        <v>13</v>
      </c>
      <c r="H5" s="425"/>
      <c r="I5" s="221">
        <v>2.6334672613578625</v>
      </c>
      <c r="J5" s="221">
        <v>3.7741858002883752</v>
      </c>
      <c r="K5" s="221">
        <v>4.5860961239934115</v>
      </c>
      <c r="L5" s="221">
        <v>3.0574025324159786</v>
      </c>
      <c r="M5" s="221">
        <v>4.2500380775528459</v>
      </c>
      <c r="N5" s="221">
        <v>3.9349466805559485</v>
      </c>
      <c r="O5" s="151">
        <v>4.6037640115887317</v>
      </c>
      <c r="P5" s="323">
        <v>3.8342714982504509</v>
      </c>
      <c r="Q5" s="506"/>
      <c r="R5" s="515"/>
      <c r="S5" s="503"/>
      <c r="T5" s="124">
        <f>(0/7)*100</f>
        <v>0</v>
      </c>
      <c r="U5" s="434"/>
      <c r="V5" s="498"/>
    </row>
    <row r="6" spans="1:22" ht="15" x14ac:dyDescent="0.25">
      <c r="A6" s="183" t="s">
        <v>6</v>
      </c>
      <c r="B6" s="184" t="s">
        <v>12</v>
      </c>
      <c r="C6" s="184" t="s">
        <v>47</v>
      </c>
      <c r="D6" s="185">
        <v>24</v>
      </c>
      <c r="E6" s="186">
        <v>10240</v>
      </c>
      <c r="F6" s="187">
        <v>500</v>
      </c>
      <c r="G6" s="200">
        <v>4</v>
      </c>
      <c r="H6" s="425"/>
      <c r="I6" s="221">
        <v>3.9506089550314036</v>
      </c>
      <c r="J6" s="221">
        <v>4.8250645015090043</v>
      </c>
      <c r="K6" s="221">
        <v>4.6956440997495585</v>
      </c>
      <c r="L6" s="221">
        <v>3.7088642299014585</v>
      </c>
      <c r="M6" s="221">
        <v>4.5616050371219421</v>
      </c>
      <c r="N6" s="221">
        <v>3.4477646216681488</v>
      </c>
      <c r="O6" s="330">
        <v>5.4021586399654122</v>
      </c>
      <c r="P6" s="324">
        <v>4.3702442978495615</v>
      </c>
      <c r="Q6" s="482">
        <v>4.1265431584905237</v>
      </c>
      <c r="R6" s="515"/>
      <c r="S6" s="503"/>
      <c r="T6" s="124">
        <f>(1/7)*100</f>
        <v>14.285714285714285</v>
      </c>
      <c r="U6" s="432">
        <f>(3/21)*100</f>
        <v>14.285714285714285</v>
      </c>
      <c r="V6" s="498"/>
    </row>
    <row r="7" spans="1:22" ht="15" x14ac:dyDescent="0.25">
      <c r="A7" s="189" t="s">
        <v>6</v>
      </c>
      <c r="B7" s="190" t="s">
        <v>12</v>
      </c>
      <c r="C7" s="190" t="s">
        <v>47</v>
      </c>
      <c r="D7" s="191">
        <v>24</v>
      </c>
      <c r="E7" s="192">
        <v>20240</v>
      </c>
      <c r="F7" s="181">
        <v>926</v>
      </c>
      <c r="G7" s="201">
        <v>7</v>
      </c>
      <c r="H7" s="425"/>
      <c r="I7" s="221">
        <v>3.0786847846040479</v>
      </c>
      <c r="J7" s="331">
        <v>5.0478102970894128</v>
      </c>
      <c r="K7" s="221">
        <v>4.8425573524447936</v>
      </c>
      <c r="L7" s="221">
        <v>3.9090791300872647</v>
      </c>
      <c r="M7" s="221">
        <v>4.5415482470898567</v>
      </c>
      <c r="N7" s="221">
        <v>3.6687926118291845</v>
      </c>
      <c r="O7" s="330">
        <v>5.4149869753269497</v>
      </c>
      <c r="P7" s="324">
        <v>4.3576370569245011</v>
      </c>
      <c r="Q7" s="483"/>
      <c r="R7" s="515"/>
      <c r="S7" s="503"/>
      <c r="T7" s="124">
        <f>(2/7)*100</f>
        <v>28.571428571428569</v>
      </c>
      <c r="U7" s="433"/>
      <c r="V7" s="498"/>
    </row>
    <row r="8" spans="1:22" ht="15" x14ac:dyDescent="0.25">
      <c r="A8" s="194" t="s">
        <v>6</v>
      </c>
      <c r="B8" s="195" t="s">
        <v>12</v>
      </c>
      <c r="C8" s="195" t="s">
        <v>47</v>
      </c>
      <c r="D8" s="196">
        <v>24</v>
      </c>
      <c r="E8" s="197">
        <v>30240</v>
      </c>
      <c r="F8" s="198">
        <v>3704</v>
      </c>
      <c r="G8" s="199">
        <v>15</v>
      </c>
      <c r="H8" s="425"/>
      <c r="I8" s="221">
        <v>3.0302910902199205</v>
      </c>
      <c r="J8" s="221">
        <v>4.9000456795642711</v>
      </c>
      <c r="K8" s="221">
        <v>4.1831107468019741</v>
      </c>
      <c r="L8" s="221">
        <v>2.4197680024001595</v>
      </c>
      <c r="M8" s="221">
        <v>4.1555455897990212</v>
      </c>
      <c r="N8" s="221">
        <v>2.3785685632307403</v>
      </c>
      <c r="O8" s="151">
        <v>4.4949071728664576</v>
      </c>
      <c r="P8" s="323">
        <v>3.6517481206975062</v>
      </c>
      <c r="Q8" s="484"/>
      <c r="R8" s="515"/>
      <c r="S8" s="503"/>
      <c r="T8" s="124">
        <f>(0/7)*100</f>
        <v>0</v>
      </c>
      <c r="U8" s="434"/>
      <c r="V8" s="498"/>
    </row>
    <row r="9" spans="1:22" ht="15" x14ac:dyDescent="0.25">
      <c r="A9" s="183" t="s">
        <v>6</v>
      </c>
      <c r="B9" s="202" t="s">
        <v>13</v>
      </c>
      <c r="C9" s="184" t="s">
        <v>48</v>
      </c>
      <c r="D9" s="185">
        <v>40</v>
      </c>
      <c r="E9" s="186">
        <v>10400</v>
      </c>
      <c r="F9" s="187">
        <v>500</v>
      </c>
      <c r="G9" s="200">
        <v>3</v>
      </c>
      <c r="H9" s="425"/>
      <c r="I9" s="221">
        <v>3.7166901422816929</v>
      </c>
      <c r="J9" s="221">
        <v>4.0216272032915086</v>
      </c>
      <c r="K9" s="332">
        <v>5.2247987437732899</v>
      </c>
      <c r="L9" s="221">
        <v>3.5917024556250685</v>
      </c>
      <c r="M9" s="221">
        <v>2.8428502212248166</v>
      </c>
      <c r="N9" s="221">
        <v>3.9614839058813276</v>
      </c>
      <c r="O9" s="330">
        <v>6.3153699281105968</v>
      </c>
      <c r="P9" s="324">
        <v>4.2344208391775471</v>
      </c>
      <c r="Q9" s="482">
        <v>4.1853088982669782</v>
      </c>
      <c r="R9" s="515"/>
      <c r="S9" s="503"/>
      <c r="T9" s="124">
        <f>(2/7)*100</f>
        <v>28.571428571428569</v>
      </c>
      <c r="U9" s="432">
        <f>(6/21)*100</f>
        <v>28.571428571428569</v>
      </c>
      <c r="V9" s="498"/>
    </row>
    <row r="10" spans="1:22" ht="15" x14ac:dyDescent="0.25">
      <c r="A10" s="189" t="s">
        <v>6</v>
      </c>
      <c r="B10" s="203" t="s">
        <v>13</v>
      </c>
      <c r="C10" s="190" t="s">
        <v>48</v>
      </c>
      <c r="D10" s="191">
        <v>40</v>
      </c>
      <c r="E10" s="192">
        <v>20400</v>
      </c>
      <c r="F10" s="181">
        <v>926</v>
      </c>
      <c r="G10" s="201">
        <v>7</v>
      </c>
      <c r="H10" s="425"/>
      <c r="I10" s="221">
        <v>4.5312015101955581</v>
      </c>
      <c r="J10" s="221">
        <v>3.7049714628866659</v>
      </c>
      <c r="K10" s="331">
        <v>5.8617528204504179</v>
      </c>
      <c r="L10" s="221">
        <v>3.4065802306882698</v>
      </c>
      <c r="M10" s="221">
        <v>3.5952484336039601</v>
      </c>
      <c r="N10" s="221">
        <v>2.9149227605099566</v>
      </c>
      <c r="O10" s="330">
        <v>6.2888170687107525</v>
      </c>
      <c r="P10" s="324">
        <v>4.3290706124350828</v>
      </c>
      <c r="Q10" s="483"/>
      <c r="R10" s="515"/>
      <c r="S10" s="503"/>
      <c r="T10" s="124">
        <f>(2/7)*100</f>
        <v>28.571428571428569</v>
      </c>
      <c r="U10" s="433"/>
      <c r="V10" s="498"/>
    </row>
    <row r="11" spans="1:22" ht="15" x14ac:dyDescent="0.25">
      <c r="A11" s="194" t="s">
        <v>6</v>
      </c>
      <c r="B11" s="204" t="s">
        <v>13</v>
      </c>
      <c r="C11" s="195" t="s">
        <v>48</v>
      </c>
      <c r="D11" s="196">
        <v>40</v>
      </c>
      <c r="E11" s="197">
        <v>30400</v>
      </c>
      <c r="F11" s="198">
        <v>3704</v>
      </c>
      <c r="G11" s="199">
        <v>13</v>
      </c>
      <c r="H11" s="426"/>
      <c r="I11" s="221">
        <v>2.6703307206873905</v>
      </c>
      <c r="J11" s="221">
        <v>4.5075665839629684</v>
      </c>
      <c r="K11" s="331">
        <v>5.127887415706863</v>
      </c>
      <c r="L11" s="221">
        <v>3.1547137348686398</v>
      </c>
      <c r="M11" s="221">
        <v>3.7843653113709306</v>
      </c>
      <c r="N11" s="221">
        <v>2.7947161947933017</v>
      </c>
      <c r="O11" s="330">
        <v>5.8738900149825639</v>
      </c>
      <c r="P11" s="323">
        <v>3.9876385680532374</v>
      </c>
      <c r="Q11" s="483"/>
      <c r="R11" s="515"/>
      <c r="S11" s="508"/>
      <c r="T11" s="124">
        <f>(2/7)*100</f>
        <v>28.571428571428569</v>
      </c>
      <c r="U11" s="434"/>
      <c r="V11" s="499"/>
    </row>
    <row r="12" spans="1:22" ht="15" x14ac:dyDescent="0.25">
      <c r="A12" s="183" t="s">
        <v>6</v>
      </c>
      <c r="B12" s="205" t="s">
        <v>50</v>
      </c>
      <c r="C12" s="205" t="s">
        <v>51</v>
      </c>
      <c r="D12" s="185">
        <v>53</v>
      </c>
      <c r="E12" s="186">
        <v>10530</v>
      </c>
      <c r="F12" s="187">
        <v>500</v>
      </c>
      <c r="G12" s="200">
        <v>6.5</v>
      </c>
      <c r="H12" s="424" t="s">
        <v>83</v>
      </c>
      <c r="I12" s="221">
        <v>2.6049779600436906</v>
      </c>
      <c r="J12" s="221">
        <v>4.2349809423686819</v>
      </c>
      <c r="K12" s="221">
        <v>4.4406684006491863</v>
      </c>
      <c r="L12" s="221">
        <v>2.6985348881652125</v>
      </c>
      <c r="M12" s="221">
        <v>3.389796124548011</v>
      </c>
      <c r="N12" s="221">
        <v>3.2232178511326599</v>
      </c>
      <c r="O12" s="151">
        <v>4.4016451349802717</v>
      </c>
      <c r="P12" s="323">
        <v>3.5705459002696736</v>
      </c>
      <c r="Q12" s="504">
        <v>3.4995018060619594</v>
      </c>
      <c r="R12" s="507">
        <v>3.5655468878007976</v>
      </c>
      <c r="S12" s="502">
        <v>5</v>
      </c>
      <c r="T12" s="124">
        <f>(0/7)*100</f>
        <v>0</v>
      </c>
      <c r="U12" s="432">
        <f>(0/21)*100</f>
        <v>0</v>
      </c>
      <c r="V12" s="497">
        <f>(1/42)*100</f>
        <v>2.3809523809523809</v>
      </c>
    </row>
    <row r="13" spans="1:22" ht="15" x14ac:dyDescent="0.25">
      <c r="A13" s="189" t="s">
        <v>6</v>
      </c>
      <c r="B13" s="206" t="s">
        <v>50</v>
      </c>
      <c r="C13" s="206" t="s">
        <v>51</v>
      </c>
      <c r="D13" s="191">
        <v>53</v>
      </c>
      <c r="E13" s="192">
        <v>20530</v>
      </c>
      <c r="F13" s="181">
        <v>926</v>
      </c>
      <c r="G13" s="201">
        <v>7</v>
      </c>
      <c r="H13" s="425"/>
      <c r="I13" s="221">
        <v>2.1471761908859217</v>
      </c>
      <c r="J13" s="221">
        <v>3.9804263297244744</v>
      </c>
      <c r="K13" s="221">
        <v>4.274005594569485</v>
      </c>
      <c r="L13" s="221">
        <v>2.7275797262612507</v>
      </c>
      <c r="M13" s="221">
        <v>3.8494811950536212</v>
      </c>
      <c r="N13" s="221">
        <v>2.5908659292712484</v>
      </c>
      <c r="O13" s="151">
        <v>4.4153611698609483</v>
      </c>
      <c r="P13" s="323">
        <v>3.426413733660993</v>
      </c>
      <c r="Q13" s="505"/>
      <c r="R13" s="507"/>
      <c r="S13" s="503"/>
      <c r="T13" s="124">
        <f>(0/7)*100</f>
        <v>0</v>
      </c>
      <c r="U13" s="433"/>
      <c r="V13" s="498"/>
    </row>
    <row r="14" spans="1:22" ht="15" x14ac:dyDescent="0.25">
      <c r="A14" s="194" t="s">
        <v>6</v>
      </c>
      <c r="B14" s="207" t="s">
        <v>50</v>
      </c>
      <c r="C14" s="207" t="s">
        <v>51</v>
      </c>
      <c r="D14" s="196">
        <v>53</v>
      </c>
      <c r="E14" s="197">
        <v>30530</v>
      </c>
      <c r="F14" s="198">
        <v>3704</v>
      </c>
      <c r="G14" s="199">
        <v>14</v>
      </c>
      <c r="H14" s="425"/>
      <c r="I14" s="221">
        <v>2.2373079500243018</v>
      </c>
      <c r="J14" s="221">
        <v>4.0144525297112379</v>
      </c>
      <c r="K14" s="221">
        <v>3.7622611968095105</v>
      </c>
      <c r="L14" s="221">
        <v>3.0912415489094327</v>
      </c>
      <c r="M14" s="221">
        <v>3.977198702900838</v>
      </c>
      <c r="N14" s="221">
        <v>2.9988302560569675</v>
      </c>
      <c r="O14" s="151">
        <v>4.4295283053742081</v>
      </c>
      <c r="P14" s="323">
        <v>3.5015457842552142</v>
      </c>
      <c r="Q14" s="506"/>
      <c r="R14" s="507"/>
      <c r="S14" s="503"/>
      <c r="T14" s="124">
        <f>(0/7)*100</f>
        <v>0</v>
      </c>
      <c r="U14" s="434"/>
      <c r="V14" s="498"/>
    </row>
    <row r="15" spans="1:22" ht="15" x14ac:dyDescent="0.25">
      <c r="A15" s="183" t="s">
        <v>6</v>
      </c>
      <c r="B15" s="205" t="s">
        <v>49</v>
      </c>
      <c r="C15" s="205" t="s">
        <v>52</v>
      </c>
      <c r="D15" s="185">
        <v>56</v>
      </c>
      <c r="E15" s="186">
        <v>10560</v>
      </c>
      <c r="F15" s="187">
        <v>500</v>
      </c>
      <c r="G15" s="200">
        <v>3.5</v>
      </c>
      <c r="H15" s="425"/>
      <c r="I15" s="221">
        <v>1.55224113215668</v>
      </c>
      <c r="J15" s="221">
        <v>4.0844093270099249</v>
      </c>
      <c r="K15" s="331">
        <v>5.1300742684927059</v>
      </c>
      <c r="L15" s="221">
        <v>3.7402729411774844</v>
      </c>
      <c r="M15" s="221">
        <v>2.8622110537200771</v>
      </c>
      <c r="N15" s="221">
        <v>3.7226655251891967</v>
      </c>
      <c r="O15" s="151">
        <v>4.4910837994880772</v>
      </c>
      <c r="P15" s="323">
        <v>3.6547082924620211</v>
      </c>
      <c r="Q15" s="504">
        <v>3.631591969539635</v>
      </c>
      <c r="R15" s="507"/>
      <c r="S15" s="503"/>
      <c r="T15" s="124">
        <f>(1/7)*100</f>
        <v>14.285714285714285</v>
      </c>
      <c r="U15" s="432">
        <f>(1/21)*100</f>
        <v>4.7619047619047619</v>
      </c>
      <c r="V15" s="498"/>
    </row>
    <row r="16" spans="1:22" ht="15" x14ac:dyDescent="0.25">
      <c r="A16" s="189" t="s">
        <v>6</v>
      </c>
      <c r="B16" s="206" t="s">
        <v>49</v>
      </c>
      <c r="C16" s="206" t="s">
        <v>52</v>
      </c>
      <c r="D16" s="191">
        <v>56</v>
      </c>
      <c r="E16" s="181">
        <v>20560</v>
      </c>
      <c r="F16" s="181">
        <v>926</v>
      </c>
      <c r="G16" s="201">
        <v>5</v>
      </c>
      <c r="H16" s="425"/>
      <c r="I16" s="221">
        <v>1.7323352957276361</v>
      </c>
      <c r="J16" s="221">
        <v>4.2428161194559175</v>
      </c>
      <c r="K16" s="221">
        <v>4.7863964409475175</v>
      </c>
      <c r="L16" s="221">
        <v>3.4336089955315048</v>
      </c>
      <c r="M16" s="221">
        <v>3.7883068218911697</v>
      </c>
      <c r="N16" s="221">
        <v>3.3889061117531578</v>
      </c>
      <c r="O16" s="151">
        <v>4.3617143558880285</v>
      </c>
      <c r="P16" s="323">
        <v>3.6762977344564187</v>
      </c>
      <c r="Q16" s="505"/>
      <c r="R16" s="507"/>
      <c r="S16" s="503"/>
      <c r="T16" s="124">
        <f>(0/7)*100</f>
        <v>0</v>
      </c>
      <c r="U16" s="433"/>
      <c r="V16" s="498"/>
    </row>
    <row r="17" spans="1:22" ht="15" x14ac:dyDescent="0.25">
      <c r="A17" s="194" t="s">
        <v>6</v>
      </c>
      <c r="B17" s="207" t="s">
        <v>49</v>
      </c>
      <c r="C17" s="207" t="s">
        <v>52</v>
      </c>
      <c r="D17" s="196">
        <v>56</v>
      </c>
      <c r="E17" s="198">
        <v>30560</v>
      </c>
      <c r="F17" s="198">
        <v>3704</v>
      </c>
      <c r="G17" s="199">
        <v>16</v>
      </c>
      <c r="H17" s="426"/>
      <c r="I17" s="221">
        <v>2.4243733078728935</v>
      </c>
      <c r="J17" s="221">
        <v>3.6369078229022396</v>
      </c>
      <c r="K17" s="221">
        <v>4.5187387516330029</v>
      </c>
      <c r="L17" s="221">
        <v>3.5130609619506021</v>
      </c>
      <c r="M17" s="221">
        <v>3.9710539906010642</v>
      </c>
      <c r="N17" s="221">
        <v>2.494747924316278</v>
      </c>
      <c r="O17" s="151">
        <v>4.3875064126271965</v>
      </c>
      <c r="P17" s="323">
        <v>3.5637698817004684</v>
      </c>
      <c r="Q17" s="505"/>
      <c r="R17" s="507"/>
      <c r="S17" s="508"/>
      <c r="T17" s="124">
        <f>(0/7)*100</f>
        <v>0</v>
      </c>
      <c r="U17" s="434"/>
      <c r="V17" s="499"/>
    </row>
    <row r="18" spans="1:22" ht="15" x14ac:dyDescent="0.25">
      <c r="A18" s="183" t="s">
        <v>6</v>
      </c>
      <c r="B18" s="205" t="s">
        <v>16</v>
      </c>
      <c r="C18" s="205" t="s">
        <v>53</v>
      </c>
      <c r="D18" s="185">
        <v>64</v>
      </c>
      <c r="E18" s="187">
        <v>10640</v>
      </c>
      <c r="F18" s="187">
        <v>500</v>
      </c>
      <c r="G18" s="200">
        <v>6</v>
      </c>
      <c r="H18" s="410" t="s">
        <v>88</v>
      </c>
      <c r="I18" s="221">
        <v>2.1309353502254464</v>
      </c>
      <c r="J18" s="331">
        <v>5.6527251458603365</v>
      </c>
      <c r="K18" s="331">
        <v>5.9327104392174714</v>
      </c>
      <c r="L18" s="331">
        <v>5.4263395487491159</v>
      </c>
      <c r="M18" s="331">
        <v>5.2619920660739261</v>
      </c>
      <c r="N18" s="221">
        <v>2.8632313906960536</v>
      </c>
      <c r="O18" s="330">
        <v>5.3253505385405102</v>
      </c>
      <c r="P18" s="324">
        <v>4.6561834970518374</v>
      </c>
      <c r="Q18" s="482">
        <v>4.5931812342168996</v>
      </c>
      <c r="R18" s="500">
        <v>4.5931812342168996</v>
      </c>
      <c r="S18" s="502">
        <v>5</v>
      </c>
      <c r="T18" s="124">
        <f>(5/7)*100</f>
        <v>71.428571428571431</v>
      </c>
      <c r="U18" s="432">
        <f>(11/21)*100</f>
        <v>52.380952380952387</v>
      </c>
      <c r="V18" s="494">
        <f>(11/21)*100</f>
        <v>52.380952380952387</v>
      </c>
    </row>
    <row r="19" spans="1:22" ht="15" x14ac:dyDescent="0.25">
      <c r="A19" s="189" t="s">
        <v>6</v>
      </c>
      <c r="B19" s="206" t="s">
        <v>16</v>
      </c>
      <c r="C19" s="206" t="s">
        <v>53</v>
      </c>
      <c r="D19" s="191">
        <v>64</v>
      </c>
      <c r="E19" s="181">
        <v>20640</v>
      </c>
      <c r="F19" s="181">
        <v>926</v>
      </c>
      <c r="G19" s="201">
        <v>10</v>
      </c>
      <c r="H19" s="411"/>
      <c r="I19" s="221">
        <v>2.8864192626151595</v>
      </c>
      <c r="J19" s="221">
        <v>4.835844181640212</v>
      </c>
      <c r="K19" s="331">
        <v>5.1466449260174114</v>
      </c>
      <c r="L19" s="331">
        <v>5.5684723549367519</v>
      </c>
      <c r="M19" s="331">
        <v>5.375942404604932</v>
      </c>
      <c r="N19" s="221">
        <v>4.0663535744158681</v>
      </c>
      <c r="O19" s="330">
        <v>5.3846493357311482</v>
      </c>
      <c r="P19" s="324">
        <v>4.7520465771373548</v>
      </c>
      <c r="Q19" s="483"/>
      <c r="R19" s="501"/>
      <c r="S19" s="503"/>
      <c r="T19" s="124">
        <f>(4/7)*100</f>
        <v>57.142857142857139</v>
      </c>
      <c r="U19" s="433"/>
      <c r="V19" s="494"/>
    </row>
    <row r="20" spans="1:22" ht="15" x14ac:dyDescent="0.25">
      <c r="A20" s="194" t="s">
        <v>6</v>
      </c>
      <c r="B20" s="207" t="s">
        <v>16</v>
      </c>
      <c r="C20" s="207" t="s">
        <v>53</v>
      </c>
      <c r="D20" s="196">
        <v>64</v>
      </c>
      <c r="E20" s="198">
        <v>30640</v>
      </c>
      <c r="F20" s="198">
        <v>3704</v>
      </c>
      <c r="G20" s="199">
        <v>19</v>
      </c>
      <c r="H20" s="411"/>
      <c r="I20" s="221">
        <v>3.5360329358675799</v>
      </c>
      <c r="J20" s="221">
        <v>4.7250624114050277</v>
      </c>
      <c r="K20" s="221">
        <v>4.2427315383681208</v>
      </c>
      <c r="L20" s="221">
        <v>4.0896566849903015</v>
      </c>
      <c r="M20" s="331">
        <v>5.3097026526729802</v>
      </c>
      <c r="N20" s="221">
        <v>3.4517321570610422</v>
      </c>
      <c r="O20" s="330">
        <v>5.244277018865473</v>
      </c>
      <c r="P20" s="324">
        <v>4.3713136284615031</v>
      </c>
      <c r="Q20" s="484"/>
      <c r="R20" s="501"/>
      <c r="S20" s="503"/>
      <c r="T20" s="124">
        <f>(2/7)*100</f>
        <v>28.571428571428569</v>
      </c>
      <c r="U20" s="434"/>
      <c r="V20" s="494"/>
    </row>
    <row r="21" spans="1:22" ht="15" x14ac:dyDescent="0.25">
      <c r="A21" s="183" t="s">
        <v>19</v>
      </c>
      <c r="B21" s="205" t="s">
        <v>20</v>
      </c>
      <c r="C21" s="205" t="s">
        <v>54</v>
      </c>
      <c r="D21" s="185">
        <v>72</v>
      </c>
      <c r="E21" s="187">
        <v>10720</v>
      </c>
      <c r="F21" s="187">
        <v>500</v>
      </c>
      <c r="G21" s="200">
        <v>3</v>
      </c>
      <c r="H21" s="410" t="s">
        <v>84</v>
      </c>
      <c r="I21" s="331">
        <v>5.15817696864457</v>
      </c>
      <c r="J21" s="331">
        <v>5.2758275705845827</v>
      </c>
      <c r="K21" s="221">
        <v>4.8003520551624455</v>
      </c>
      <c r="L21" s="331">
        <v>5.0549542131357148</v>
      </c>
      <c r="M21" s="221">
        <v>4.2740322801437998</v>
      </c>
      <c r="N21" s="221">
        <v>4.750032242857932</v>
      </c>
      <c r="O21" s="151">
        <v>4.8058231536772684</v>
      </c>
      <c r="P21" s="324">
        <v>4.8741712120294736</v>
      </c>
      <c r="Q21" s="482">
        <v>4.8193252859054656</v>
      </c>
      <c r="R21" s="495">
        <v>5.0222979289680945</v>
      </c>
      <c r="S21" s="496">
        <v>5</v>
      </c>
      <c r="T21" s="124">
        <f>(3/7)*100</f>
        <v>42.857142857142854</v>
      </c>
      <c r="U21" s="432">
        <f>(7/21)*100</f>
        <v>33.333333333333329</v>
      </c>
      <c r="V21" s="494">
        <f>(28/63)*100</f>
        <v>44.444444444444443</v>
      </c>
    </row>
    <row r="22" spans="1:22" ht="15" x14ac:dyDescent="0.25">
      <c r="A22" s="189" t="s">
        <v>19</v>
      </c>
      <c r="B22" s="206" t="s">
        <v>20</v>
      </c>
      <c r="C22" s="206" t="s">
        <v>54</v>
      </c>
      <c r="D22" s="191">
        <v>72</v>
      </c>
      <c r="E22" s="181">
        <v>20720</v>
      </c>
      <c r="F22" s="181">
        <v>926</v>
      </c>
      <c r="G22" s="201">
        <v>6</v>
      </c>
      <c r="H22" s="411"/>
      <c r="I22" s="331">
        <v>5.1294531053134884</v>
      </c>
      <c r="J22" s="331">
        <v>5.2916560831383066</v>
      </c>
      <c r="K22" s="221">
        <v>4.9123981722539067</v>
      </c>
      <c r="L22" s="331">
        <v>5.2283951651506779</v>
      </c>
      <c r="M22" s="221">
        <v>4.582618622405958</v>
      </c>
      <c r="N22" s="221">
        <v>4.7305335931112031</v>
      </c>
      <c r="O22" s="151">
        <v>4.9156930459781885</v>
      </c>
      <c r="P22" s="324">
        <v>4.9701068267645327</v>
      </c>
      <c r="Q22" s="483"/>
      <c r="R22" s="495"/>
      <c r="S22" s="496"/>
      <c r="T22" s="124">
        <f>(3/7)*100</f>
        <v>42.857142857142854</v>
      </c>
      <c r="U22" s="433"/>
      <c r="V22" s="494"/>
    </row>
    <row r="23" spans="1:22" ht="15" x14ac:dyDescent="0.25">
      <c r="A23" s="194" t="s">
        <v>19</v>
      </c>
      <c r="B23" s="207" t="s">
        <v>20</v>
      </c>
      <c r="C23" s="207" t="s">
        <v>54</v>
      </c>
      <c r="D23" s="196">
        <v>72</v>
      </c>
      <c r="E23" s="198">
        <v>30720</v>
      </c>
      <c r="F23" s="198">
        <v>3704</v>
      </c>
      <c r="G23" s="199">
        <v>14</v>
      </c>
      <c r="H23" s="411"/>
      <c r="I23" s="221">
        <v>4.3355757618222937</v>
      </c>
      <c r="J23" s="221">
        <v>4.8252262554897829</v>
      </c>
      <c r="K23" s="331">
        <v>5.2450405211728235</v>
      </c>
      <c r="L23" s="221">
        <v>3.8207054584798281</v>
      </c>
      <c r="M23" s="221">
        <v>4.4730613610697869</v>
      </c>
      <c r="N23" s="221">
        <v>4.6173574218245683</v>
      </c>
      <c r="O23" s="151">
        <v>4.9789179525976444</v>
      </c>
      <c r="P23" s="324">
        <v>4.309922750393925</v>
      </c>
      <c r="Q23" s="483"/>
      <c r="R23" s="495"/>
      <c r="S23" s="496"/>
      <c r="T23" s="124">
        <f>(1/7)*100</f>
        <v>14.285714285714285</v>
      </c>
      <c r="U23" s="434"/>
      <c r="V23" s="494"/>
    </row>
    <row r="24" spans="1:22" ht="15" x14ac:dyDescent="0.25">
      <c r="A24" s="183" t="s">
        <v>19</v>
      </c>
      <c r="B24" s="208" t="s">
        <v>24</v>
      </c>
      <c r="C24" s="208" t="s">
        <v>25</v>
      </c>
      <c r="D24" s="185">
        <v>601</v>
      </c>
      <c r="E24" s="209">
        <v>16010</v>
      </c>
      <c r="F24" s="187">
        <v>500</v>
      </c>
      <c r="G24" s="200">
        <v>6</v>
      </c>
      <c r="H24" s="411"/>
      <c r="I24" s="331">
        <v>5.2920416740846914</v>
      </c>
      <c r="J24" s="331">
        <v>6.3590244766910029</v>
      </c>
      <c r="K24" s="331">
        <v>5.2011472018519234</v>
      </c>
      <c r="L24" s="221">
        <v>4.596635148650674</v>
      </c>
      <c r="M24" s="221">
        <v>4.9560482456620791</v>
      </c>
      <c r="N24" s="221">
        <v>4.4754625538863193</v>
      </c>
      <c r="O24" s="330">
        <v>6.1045571703226047</v>
      </c>
      <c r="P24" s="325">
        <v>5.2835594958784711</v>
      </c>
      <c r="Q24" s="489">
        <v>5.0475790847316402</v>
      </c>
      <c r="R24" s="495"/>
      <c r="S24" s="496"/>
      <c r="T24" s="124">
        <f>(4/7)*100</f>
        <v>57.142857142857139</v>
      </c>
      <c r="U24" s="432">
        <f>(10/21)*100</f>
        <v>47.619047619047613</v>
      </c>
      <c r="V24" s="494"/>
    </row>
    <row r="25" spans="1:22" ht="15" x14ac:dyDescent="0.25">
      <c r="A25" s="189" t="s">
        <v>19</v>
      </c>
      <c r="B25" s="182" t="s">
        <v>24</v>
      </c>
      <c r="C25" s="182" t="s">
        <v>25</v>
      </c>
      <c r="D25" s="191">
        <v>601</v>
      </c>
      <c r="E25" s="210">
        <v>26010</v>
      </c>
      <c r="F25" s="181">
        <v>926</v>
      </c>
      <c r="G25" s="201">
        <v>16</v>
      </c>
      <c r="H25" s="411"/>
      <c r="I25" s="221">
        <v>4.9983771218884145</v>
      </c>
      <c r="J25" s="331">
        <v>5.9205444016688462</v>
      </c>
      <c r="K25" s="331">
        <v>5.0576823768331032</v>
      </c>
      <c r="L25" s="221">
        <v>4.8180938294692091</v>
      </c>
      <c r="M25" s="221">
        <v>4.8729007474853656</v>
      </c>
      <c r="N25" s="221">
        <v>4.0959610143392524</v>
      </c>
      <c r="O25" s="330">
        <v>5.450601717744461</v>
      </c>
      <c r="P25" s="325">
        <v>5.0305944584898077</v>
      </c>
      <c r="Q25" s="490"/>
      <c r="R25" s="495"/>
      <c r="S25" s="496"/>
      <c r="T25" s="124">
        <f>(3/7)*100</f>
        <v>42.857142857142854</v>
      </c>
      <c r="U25" s="433"/>
      <c r="V25" s="494"/>
    </row>
    <row r="26" spans="1:22" ht="15" x14ac:dyDescent="0.25">
      <c r="A26" s="194" t="s">
        <v>19</v>
      </c>
      <c r="B26" s="211" t="s">
        <v>24</v>
      </c>
      <c r="C26" s="211" t="s">
        <v>25</v>
      </c>
      <c r="D26" s="196">
        <v>601</v>
      </c>
      <c r="E26" s="212">
        <v>36010</v>
      </c>
      <c r="F26" s="198">
        <v>3704</v>
      </c>
      <c r="G26" s="199">
        <v>27</v>
      </c>
      <c r="H26" s="411"/>
      <c r="I26" s="331">
        <v>5.0617970390025562</v>
      </c>
      <c r="J26" s="331">
        <v>5.6490026492136103</v>
      </c>
      <c r="K26" s="221">
        <v>4.7577675489605067</v>
      </c>
      <c r="L26" s="221">
        <v>4.3362344135398398</v>
      </c>
      <c r="M26" s="221">
        <v>4.3830344954957923</v>
      </c>
      <c r="N26" s="221">
        <v>4.0170563637827179</v>
      </c>
      <c r="O26" s="330">
        <v>5.595190588791481</v>
      </c>
      <c r="P26" s="324">
        <v>4.8285832998266427</v>
      </c>
      <c r="Q26" s="491"/>
      <c r="R26" s="495"/>
      <c r="S26" s="496"/>
      <c r="T26" s="124">
        <f>(3/7)*100</f>
        <v>42.857142857142854</v>
      </c>
      <c r="U26" s="434"/>
      <c r="V26" s="494"/>
    </row>
    <row r="27" spans="1:22" ht="15" x14ac:dyDescent="0.25">
      <c r="A27" s="213" t="s">
        <v>19</v>
      </c>
      <c r="B27" s="208" t="s">
        <v>24</v>
      </c>
      <c r="C27" s="208" t="s">
        <v>78</v>
      </c>
      <c r="D27" s="185">
        <v>82</v>
      </c>
      <c r="E27" s="187">
        <v>10820</v>
      </c>
      <c r="F27" s="187">
        <v>500</v>
      </c>
      <c r="G27" s="200">
        <v>5</v>
      </c>
      <c r="H27" s="411"/>
      <c r="I27" s="221">
        <v>4.9796107346584719</v>
      </c>
      <c r="J27" s="331">
        <v>6.1509289695018641</v>
      </c>
      <c r="K27" s="331">
        <v>6.1383121548452344</v>
      </c>
      <c r="L27" s="331">
        <v>5.3272687935690843</v>
      </c>
      <c r="M27" s="221">
        <v>4.4976349400879068</v>
      </c>
      <c r="N27" s="331">
        <v>5.1392696349189606</v>
      </c>
      <c r="O27" s="330">
        <v>5.5650042390571608</v>
      </c>
      <c r="P27" s="325">
        <v>5.3997184952340973</v>
      </c>
      <c r="Q27" s="489">
        <v>5.1999894162671785</v>
      </c>
      <c r="R27" s="495"/>
      <c r="S27" s="496"/>
      <c r="T27" s="124">
        <f>(5/7)*100</f>
        <v>71.428571428571431</v>
      </c>
      <c r="U27" s="432">
        <f>(11/21)*100</f>
        <v>52.380952380952387</v>
      </c>
      <c r="V27" s="494"/>
    </row>
    <row r="28" spans="1:22" ht="15" x14ac:dyDescent="0.25">
      <c r="A28" s="214" t="s">
        <v>19</v>
      </c>
      <c r="B28" s="182" t="s">
        <v>24</v>
      </c>
      <c r="C28" s="182" t="s">
        <v>78</v>
      </c>
      <c r="D28" s="191">
        <v>82</v>
      </c>
      <c r="E28" s="181">
        <v>20820</v>
      </c>
      <c r="F28" s="181">
        <v>926</v>
      </c>
      <c r="G28" s="201">
        <v>7</v>
      </c>
      <c r="H28" s="411"/>
      <c r="I28" s="221">
        <v>4.794124574291116</v>
      </c>
      <c r="J28" s="331">
        <v>6.349754746021242</v>
      </c>
      <c r="K28" s="331">
        <v>6.1519534069705637</v>
      </c>
      <c r="L28" s="331">
        <v>5.5202541119055528</v>
      </c>
      <c r="M28" s="221">
        <v>4.8862509409294379</v>
      </c>
      <c r="N28" s="221">
        <v>4.7835813875631059</v>
      </c>
      <c r="O28" s="330">
        <v>5.1524322901571553</v>
      </c>
      <c r="P28" s="325">
        <v>5.3769073511197387</v>
      </c>
      <c r="Q28" s="490"/>
      <c r="R28" s="495"/>
      <c r="S28" s="496"/>
      <c r="T28" s="124">
        <f>(4/7)*100</f>
        <v>57.142857142857139</v>
      </c>
      <c r="U28" s="433"/>
      <c r="V28" s="494"/>
    </row>
    <row r="29" spans="1:22" ht="15" x14ac:dyDescent="0.25">
      <c r="A29" s="215" t="s">
        <v>19</v>
      </c>
      <c r="B29" s="211" t="s">
        <v>24</v>
      </c>
      <c r="C29" s="211" t="s">
        <v>78</v>
      </c>
      <c r="D29" s="196">
        <v>82</v>
      </c>
      <c r="E29" s="198">
        <v>30820</v>
      </c>
      <c r="F29" s="198">
        <v>3704</v>
      </c>
      <c r="G29" s="199">
        <v>15</v>
      </c>
      <c r="H29" s="412"/>
      <c r="I29" s="221">
        <v>3.9329954163360656</v>
      </c>
      <c r="J29" s="331">
        <v>6.4872403078825682</v>
      </c>
      <c r="K29" s="221">
        <v>4.4532587852907852</v>
      </c>
      <c r="L29" s="221">
        <v>3.7357335171240313</v>
      </c>
      <c r="M29" s="221">
        <v>4.8361237726059709</v>
      </c>
      <c r="N29" s="331">
        <v>5.5199113754990483</v>
      </c>
      <c r="O29" s="151">
        <v>4.798133642395408</v>
      </c>
      <c r="P29" s="324">
        <v>4.8233424024476959</v>
      </c>
      <c r="Q29" s="490"/>
      <c r="R29" s="495"/>
      <c r="S29" s="496"/>
      <c r="T29" s="124">
        <f>(2/7)*100</f>
        <v>28.571428571428569</v>
      </c>
      <c r="U29" s="434"/>
      <c r="V29" s="494"/>
    </row>
    <row r="30" spans="1:22" ht="15" x14ac:dyDescent="0.25">
      <c r="A30" s="216" t="s">
        <v>6</v>
      </c>
      <c r="B30" s="161" t="s">
        <v>50</v>
      </c>
      <c r="C30" s="161" t="s">
        <v>106</v>
      </c>
      <c r="D30" s="241">
        <v>53</v>
      </c>
      <c r="E30" s="158">
        <v>40530</v>
      </c>
      <c r="F30" s="218">
        <v>8334</v>
      </c>
      <c r="G30" s="219">
        <v>18</v>
      </c>
      <c r="H30" s="222" t="s">
        <v>104</v>
      </c>
      <c r="I30" s="221">
        <v>2.5676226629304297</v>
      </c>
      <c r="J30" s="221">
        <v>3.8806758728773159</v>
      </c>
      <c r="K30" s="221">
        <v>3.4450404205348124</v>
      </c>
      <c r="L30" s="333">
        <v>0.51047903429018271</v>
      </c>
      <c r="M30" s="221">
        <v>2.8085527180190124</v>
      </c>
      <c r="N30" s="221">
        <v>2.520508299569205</v>
      </c>
      <c r="O30" s="151">
        <v>4.0889022206041714</v>
      </c>
      <c r="P30" s="323">
        <v>2.8316830326893045</v>
      </c>
      <c r="Q30" s="322">
        <v>2.8316830326893045</v>
      </c>
      <c r="R30" s="326">
        <v>2.8316830326893045</v>
      </c>
      <c r="S30" s="313">
        <v>4.5</v>
      </c>
      <c r="T30" s="124">
        <f>(0/7)*100</f>
        <v>0</v>
      </c>
      <c r="U30" s="124">
        <f>(0/7)*100</f>
        <v>0</v>
      </c>
      <c r="V30" s="314">
        <f>(0/7)*100</f>
        <v>0</v>
      </c>
    </row>
    <row r="31" spans="1:22" ht="15.75" thickBot="1" x14ac:dyDescent="0.3">
      <c r="A31" s="216" t="s">
        <v>19</v>
      </c>
      <c r="B31" s="161" t="s">
        <v>20</v>
      </c>
      <c r="C31" s="161" t="s">
        <v>54</v>
      </c>
      <c r="D31" s="196">
        <v>72</v>
      </c>
      <c r="E31" s="218">
        <v>40720</v>
      </c>
      <c r="F31" s="218">
        <v>7233</v>
      </c>
      <c r="G31" s="219">
        <v>21</v>
      </c>
      <c r="H31" s="223" t="s">
        <v>105</v>
      </c>
      <c r="I31" s="331">
        <v>5.534147945708602</v>
      </c>
      <c r="J31" s="331">
        <v>5.1430802641547286</v>
      </c>
      <c r="K31" s="221">
        <v>4.4316402090166465</v>
      </c>
      <c r="L31" s="221">
        <v>3.4281425693128296</v>
      </c>
      <c r="M31" s="221">
        <v>3.6394203623111419</v>
      </c>
      <c r="N31" s="221">
        <v>3.0432235713200635</v>
      </c>
      <c r="O31" s="151">
        <v>4.9498043309334649</v>
      </c>
      <c r="P31" s="327">
        <v>4.6136978189223896</v>
      </c>
      <c r="Q31" s="328">
        <v>4.6136978189223896</v>
      </c>
      <c r="R31" s="329">
        <v>4.6136978189223896</v>
      </c>
      <c r="S31" s="315">
        <v>4.5</v>
      </c>
      <c r="T31" s="316">
        <f>(2/7)*100</f>
        <v>28.571428571428569</v>
      </c>
      <c r="U31" s="316">
        <f>(2/7)*100</f>
        <v>28.571428571428569</v>
      </c>
      <c r="V31" s="317">
        <f>(2/7)*100</f>
        <v>28.571428571428569</v>
      </c>
    </row>
    <row r="33" spans="1:23" s="171" customFormat="1" x14ac:dyDescent="0.2">
      <c r="A33" s="181"/>
      <c r="B33" s="182"/>
      <c r="C33" s="182"/>
      <c r="D33" s="182"/>
      <c r="E33" s="181"/>
      <c r="F33" s="182"/>
      <c r="G33" s="182"/>
      <c r="H33" s="182"/>
      <c r="I33"/>
      <c r="J33" s="224"/>
      <c r="K33"/>
      <c r="L33"/>
      <c r="M33"/>
      <c r="N33"/>
      <c r="O33"/>
      <c r="P33"/>
      <c r="Q33" s="256"/>
      <c r="R33" s="256"/>
      <c r="T33"/>
      <c r="U33"/>
      <c r="V33"/>
      <c r="W33"/>
    </row>
    <row r="34" spans="1:23" s="171" customFormat="1" x14ac:dyDescent="0.2">
      <c r="A34" s="181"/>
      <c r="B34" s="182"/>
      <c r="C34" s="182"/>
      <c r="D34" s="182"/>
      <c r="E34" s="181"/>
      <c r="F34" s="182"/>
      <c r="G34" s="182"/>
      <c r="H34" s="182"/>
      <c r="I34"/>
      <c r="J34"/>
      <c r="K34" s="299"/>
      <c r="L34" s="299"/>
      <c r="M34"/>
      <c r="N34"/>
      <c r="O34"/>
      <c r="P34"/>
      <c r="Q34" s="256"/>
      <c r="R34" s="256"/>
      <c r="T34"/>
      <c r="U34"/>
      <c r="V34"/>
      <c r="W34"/>
    </row>
    <row r="35" spans="1:23" s="171" customFormat="1" x14ac:dyDescent="0.2">
      <c r="A35" s="181"/>
      <c r="B35" s="182"/>
      <c r="C35" s="182"/>
      <c r="D35" s="182"/>
      <c r="E35" s="181"/>
      <c r="F35" s="182"/>
      <c r="G35" s="182"/>
      <c r="H35" s="182"/>
      <c r="I35"/>
      <c r="J35"/>
      <c r="K35" s="299"/>
      <c r="L35" s="299"/>
      <c r="M35"/>
      <c r="N35"/>
      <c r="O35"/>
      <c r="P35"/>
      <c r="Q35" s="256"/>
      <c r="R35" s="256"/>
      <c r="T35"/>
      <c r="U35"/>
      <c r="V35"/>
      <c r="W35"/>
    </row>
    <row r="36" spans="1:23" s="171" customFormat="1" x14ac:dyDescent="0.2">
      <c r="A36" s="181"/>
      <c r="B36" s="182"/>
      <c r="C36" s="182"/>
      <c r="D36" s="182"/>
      <c r="E36" s="181"/>
      <c r="F36" s="182"/>
      <c r="G36" s="182"/>
      <c r="H36" s="182"/>
      <c r="I36"/>
      <c r="J36"/>
      <c r="K36" s="299"/>
      <c r="L36" s="299"/>
      <c r="M36"/>
      <c r="N36"/>
      <c r="O36"/>
      <c r="P36"/>
      <c r="Q36" s="256"/>
      <c r="R36"/>
      <c r="T36"/>
      <c r="U36"/>
      <c r="V36"/>
      <c r="W36"/>
    </row>
    <row r="37" spans="1:23" s="171" customFormat="1" x14ac:dyDescent="0.2">
      <c r="A37" s="181"/>
      <c r="B37" s="182"/>
      <c r="C37" s="182"/>
      <c r="D37" s="182"/>
      <c r="E37" s="181"/>
      <c r="F37" s="182"/>
      <c r="G37" s="182"/>
      <c r="H37" s="182"/>
      <c r="I37"/>
      <c r="J37"/>
      <c r="K37" s="299"/>
      <c r="L37" s="299"/>
      <c r="M37"/>
      <c r="N37"/>
      <c r="O37"/>
      <c r="P37"/>
      <c r="Q37" s="256"/>
      <c r="R37"/>
      <c r="T37"/>
      <c r="U37"/>
      <c r="V37"/>
      <c r="W37"/>
    </row>
    <row r="38" spans="1:23" s="171" customFormat="1" x14ac:dyDescent="0.2">
      <c r="A38" s="181"/>
      <c r="B38" s="182"/>
      <c r="C38" s="182"/>
      <c r="D38" s="182"/>
      <c r="E38" s="181"/>
      <c r="F38" s="182"/>
      <c r="G38" s="182"/>
      <c r="H38" s="182"/>
      <c r="I38"/>
      <c r="J38"/>
      <c r="K38" s="299"/>
      <c r="L38" s="299"/>
      <c r="M38"/>
      <c r="N38"/>
      <c r="O38"/>
      <c r="P38"/>
      <c r="Q38" s="256"/>
      <c r="R38"/>
      <c r="T38"/>
      <c r="U38"/>
      <c r="V38"/>
      <c r="W38"/>
    </row>
    <row r="39" spans="1:23" s="171" customFormat="1" x14ac:dyDescent="0.2">
      <c r="A39" s="181"/>
      <c r="B39" s="182"/>
      <c r="C39" s="182"/>
      <c r="D39" s="182"/>
      <c r="E39" s="181"/>
      <c r="F39" s="182"/>
      <c r="G39" s="182"/>
      <c r="H39" s="182"/>
      <c r="I39"/>
      <c r="J39"/>
      <c r="K39" s="299"/>
      <c r="L39" s="299"/>
      <c r="M39"/>
      <c r="N39"/>
      <c r="O39"/>
      <c r="P39"/>
      <c r="Q39" s="256"/>
      <c r="R39"/>
      <c r="T39"/>
      <c r="U39"/>
      <c r="V39"/>
      <c r="W39"/>
    </row>
    <row r="40" spans="1:23" s="171" customFormat="1" x14ac:dyDescent="0.2">
      <c r="A40" s="181"/>
      <c r="B40" s="182"/>
      <c r="C40" s="182"/>
      <c r="D40" s="182"/>
      <c r="E40" s="181"/>
      <c r="F40" s="182"/>
      <c r="G40" s="182"/>
      <c r="H40" s="182"/>
      <c r="I40"/>
      <c r="J40"/>
      <c r="K40" s="299"/>
      <c r="L40" s="299"/>
      <c r="M40"/>
      <c r="N40"/>
      <c r="O40"/>
      <c r="P40"/>
      <c r="Q40"/>
      <c r="R40"/>
      <c r="T40"/>
      <c r="U40"/>
      <c r="V40"/>
      <c r="W40"/>
    </row>
  </sheetData>
  <mergeCells count="36">
    <mergeCell ref="H21:H29"/>
    <mergeCell ref="Q21:Q23"/>
    <mergeCell ref="R21:R29"/>
    <mergeCell ref="S21:S29"/>
    <mergeCell ref="U21:U23"/>
    <mergeCell ref="V21:V29"/>
    <mergeCell ref="Q24:Q26"/>
    <mergeCell ref="U24:U26"/>
    <mergeCell ref="Q27:Q29"/>
    <mergeCell ref="U27:U29"/>
    <mergeCell ref="V12:V17"/>
    <mergeCell ref="Q15:Q17"/>
    <mergeCell ref="U15:U17"/>
    <mergeCell ref="H18:H20"/>
    <mergeCell ref="Q18:Q20"/>
    <mergeCell ref="R18:R20"/>
    <mergeCell ref="S18:S20"/>
    <mergeCell ref="U18:U20"/>
    <mergeCell ref="V18:V20"/>
    <mergeCell ref="H12:H17"/>
    <mergeCell ref="Q12:Q14"/>
    <mergeCell ref="R12:R17"/>
    <mergeCell ref="S12:S17"/>
    <mergeCell ref="U12:U14"/>
    <mergeCell ref="P1:R1"/>
    <mergeCell ref="S1:V1"/>
    <mergeCell ref="H3:H11"/>
    <mergeCell ref="Q3:Q5"/>
    <mergeCell ref="R3:R11"/>
    <mergeCell ref="S3:S11"/>
    <mergeCell ref="U3:U5"/>
    <mergeCell ref="V3:V11"/>
    <mergeCell ref="Q6:Q8"/>
    <mergeCell ref="U6:U8"/>
    <mergeCell ref="Q9:Q11"/>
    <mergeCell ref="U9:U11"/>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40"/>
  <sheetViews>
    <sheetView topLeftCell="D1" zoomScaleNormal="100" workbookViewId="0">
      <selection activeCell="O3" sqref="O3"/>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customWidth="1"/>
    <col min="9" max="9" width="10.42578125" customWidth="1"/>
    <col min="10" max="10" width="11.28515625" customWidth="1"/>
    <col min="13" max="13" width="10" customWidth="1"/>
    <col min="14" max="14" width="11" customWidth="1"/>
    <col min="15" max="16" width="11.28515625" customWidth="1"/>
    <col min="17" max="17" width="12.28515625" customWidth="1"/>
    <col min="18" max="18" width="13.85546875" style="171" customWidth="1"/>
    <col min="19" max="20" width="13" customWidth="1"/>
    <col min="21" max="21" width="14.7109375" customWidth="1"/>
  </cols>
  <sheetData>
    <row r="1" spans="1:21" ht="51" customHeight="1" x14ac:dyDescent="0.2">
      <c r="A1" s="275" t="s">
        <v>162</v>
      </c>
      <c r="H1" s="288"/>
      <c r="O1" s="509" t="s">
        <v>90</v>
      </c>
      <c r="P1" s="510"/>
      <c r="Q1" s="511"/>
      <c r="R1" s="512" t="s">
        <v>94</v>
      </c>
      <c r="S1" s="513"/>
      <c r="T1" s="513"/>
      <c r="U1" s="514"/>
    </row>
    <row r="2" spans="1:21" ht="51.75" x14ac:dyDescent="0.25">
      <c r="A2" s="74" t="s">
        <v>0</v>
      </c>
      <c r="B2" s="75" t="s">
        <v>1</v>
      </c>
      <c r="C2" s="74" t="s">
        <v>2</v>
      </c>
      <c r="D2" s="25" t="s">
        <v>89</v>
      </c>
      <c r="E2" s="74" t="s">
        <v>81</v>
      </c>
      <c r="F2" s="74" t="s">
        <v>4</v>
      </c>
      <c r="G2" s="74" t="s">
        <v>5</v>
      </c>
      <c r="H2" s="1" t="s">
        <v>85</v>
      </c>
      <c r="I2" s="335" t="s">
        <v>191</v>
      </c>
      <c r="J2" s="335" t="s">
        <v>192</v>
      </c>
      <c r="K2" s="335" t="s">
        <v>193</v>
      </c>
      <c r="L2" s="335" t="s">
        <v>194</v>
      </c>
      <c r="M2" s="335" t="s">
        <v>195</v>
      </c>
      <c r="N2" s="341" t="s">
        <v>196</v>
      </c>
      <c r="O2" s="303" t="s">
        <v>71</v>
      </c>
      <c r="P2" s="26" t="s">
        <v>72</v>
      </c>
      <c r="Q2" s="304" t="s">
        <v>80</v>
      </c>
      <c r="R2" s="303" t="s">
        <v>107</v>
      </c>
      <c r="S2" s="146" t="s">
        <v>91</v>
      </c>
      <c r="T2" s="146" t="s">
        <v>92</v>
      </c>
      <c r="U2" s="312" t="s">
        <v>93</v>
      </c>
    </row>
    <row r="3" spans="1:21" x14ac:dyDescent="0.2">
      <c r="A3" s="183" t="s">
        <v>6</v>
      </c>
      <c r="B3" s="184" t="s">
        <v>9</v>
      </c>
      <c r="C3" s="184" t="s">
        <v>46</v>
      </c>
      <c r="D3" s="185">
        <v>8</v>
      </c>
      <c r="E3" s="186">
        <v>10080</v>
      </c>
      <c r="F3" s="187">
        <v>500</v>
      </c>
      <c r="G3" s="188">
        <v>3</v>
      </c>
      <c r="H3" s="424" t="s">
        <v>82</v>
      </c>
      <c r="I3" s="336">
        <v>4.2029126286559748</v>
      </c>
      <c r="J3" s="336">
        <v>4.1841234162827963</v>
      </c>
      <c r="K3" s="336">
        <v>4.1457089539513028</v>
      </c>
      <c r="L3" s="336">
        <v>4.3886147256463444</v>
      </c>
      <c r="M3" s="336">
        <v>4.4510442109286563</v>
      </c>
      <c r="N3" s="342">
        <v>4.0478934736968952</v>
      </c>
      <c r="O3" s="345">
        <v>4.2367160000000004</v>
      </c>
      <c r="P3" s="482">
        <v>4.1584961103688158</v>
      </c>
      <c r="Q3" s="515">
        <f>AVERAGE(I3:N11)</f>
        <v>4.38542455624009</v>
      </c>
      <c r="R3" s="502">
        <v>5</v>
      </c>
      <c r="S3" s="124">
        <f>(0/6)*100</f>
        <v>0</v>
      </c>
      <c r="T3" s="432">
        <f>(0/18)*100</f>
        <v>0</v>
      </c>
      <c r="U3" s="497">
        <f>(8/54)*100</f>
        <v>14.814814814814813</v>
      </c>
    </row>
    <row r="4" spans="1:21" x14ac:dyDescent="0.2">
      <c r="A4" s="189" t="s">
        <v>6</v>
      </c>
      <c r="B4" s="190" t="s">
        <v>9</v>
      </c>
      <c r="C4" s="190" t="s">
        <v>46</v>
      </c>
      <c r="D4" s="191">
        <v>8</v>
      </c>
      <c r="E4" s="192">
        <v>20080</v>
      </c>
      <c r="F4" s="181">
        <v>926</v>
      </c>
      <c r="G4" s="193">
        <v>6</v>
      </c>
      <c r="H4" s="425"/>
      <c r="I4" s="336">
        <v>4.3639247489991604</v>
      </c>
      <c r="J4" s="336">
        <v>3.7901054874327031</v>
      </c>
      <c r="K4" s="336">
        <v>4.5644980807422249</v>
      </c>
      <c r="L4" s="336">
        <v>4.2167613281013008</v>
      </c>
      <c r="M4" s="336">
        <v>4.5377275738986489</v>
      </c>
      <c r="N4" s="342">
        <v>4.0577612610611142</v>
      </c>
      <c r="O4" s="345">
        <v>4.2551300000000003</v>
      </c>
      <c r="P4" s="483"/>
      <c r="Q4" s="515"/>
      <c r="R4" s="503"/>
      <c r="S4" s="124">
        <f t="shared" ref="S4:S15" si="0">(0/6)*100</f>
        <v>0</v>
      </c>
      <c r="T4" s="433"/>
      <c r="U4" s="498"/>
    </row>
    <row r="5" spans="1:21" x14ac:dyDescent="0.2">
      <c r="A5" s="194" t="s">
        <v>6</v>
      </c>
      <c r="B5" s="195" t="s">
        <v>9</v>
      </c>
      <c r="C5" s="195" t="s">
        <v>46</v>
      </c>
      <c r="D5" s="196">
        <v>8</v>
      </c>
      <c r="E5" s="197">
        <v>30080</v>
      </c>
      <c r="F5" s="198">
        <v>3704</v>
      </c>
      <c r="G5" s="199">
        <v>13</v>
      </c>
      <c r="H5" s="425"/>
      <c r="I5" s="336">
        <v>3.7030443731199387</v>
      </c>
      <c r="J5" s="336">
        <v>4.0440502170653136</v>
      </c>
      <c r="K5" s="336">
        <v>3.777400513127029</v>
      </c>
      <c r="L5" s="336">
        <v>3.7345846489889674</v>
      </c>
      <c r="M5" s="336">
        <v>4.3809793863571507</v>
      </c>
      <c r="N5" s="342">
        <v>4.2617949585831703</v>
      </c>
      <c r="O5" s="346">
        <v>3.9836420000000001</v>
      </c>
      <c r="P5" s="484"/>
      <c r="Q5" s="515"/>
      <c r="R5" s="503"/>
      <c r="S5" s="124">
        <f t="shared" si="0"/>
        <v>0</v>
      </c>
      <c r="T5" s="434"/>
      <c r="U5" s="498"/>
    </row>
    <row r="6" spans="1:21" x14ac:dyDescent="0.2">
      <c r="A6" s="183" t="s">
        <v>6</v>
      </c>
      <c r="B6" s="184" t="s">
        <v>12</v>
      </c>
      <c r="C6" s="184" t="s">
        <v>47</v>
      </c>
      <c r="D6" s="185">
        <v>24</v>
      </c>
      <c r="E6" s="186">
        <v>10240</v>
      </c>
      <c r="F6" s="187">
        <v>500</v>
      </c>
      <c r="G6" s="200">
        <v>4</v>
      </c>
      <c r="H6" s="425"/>
      <c r="I6" s="336">
        <v>3.559405074267886</v>
      </c>
      <c r="J6" s="336">
        <v>3.9200872600924352</v>
      </c>
      <c r="K6" s="336">
        <v>4.3906284082973004</v>
      </c>
      <c r="L6" s="336">
        <v>4.9570977446654689</v>
      </c>
      <c r="M6" s="338">
        <v>5.0994074494052022</v>
      </c>
      <c r="N6" s="342">
        <v>4.2494784305231299</v>
      </c>
      <c r="O6" s="345">
        <v>4.3626839999999998</v>
      </c>
      <c r="P6" s="473">
        <v>4.4322143236233353</v>
      </c>
      <c r="Q6" s="515"/>
      <c r="R6" s="503"/>
      <c r="S6" s="124">
        <f>(1/6)*100</f>
        <v>16.666666666666664</v>
      </c>
      <c r="T6" s="432">
        <f>(4/18)*100</f>
        <v>22.222222222222221</v>
      </c>
      <c r="U6" s="498"/>
    </row>
    <row r="7" spans="1:21" x14ac:dyDescent="0.2">
      <c r="A7" s="189" t="s">
        <v>6</v>
      </c>
      <c r="B7" s="190" t="s">
        <v>12</v>
      </c>
      <c r="C7" s="190" t="s">
        <v>47</v>
      </c>
      <c r="D7" s="191">
        <v>24</v>
      </c>
      <c r="E7" s="192">
        <v>20240</v>
      </c>
      <c r="F7" s="181">
        <v>926</v>
      </c>
      <c r="G7" s="201">
        <v>7</v>
      </c>
      <c r="H7" s="425"/>
      <c r="I7" s="336">
        <v>3.8603143627162506</v>
      </c>
      <c r="J7" s="336">
        <v>4.936422684801296</v>
      </c>
      <c r="K7" s="336">
        <v>4.6740988099820617</v>
      </c>
      <c r="L7" s="338">
        <v>5.1203860413364577</v>
      </c>
      <c r="M7" s="338">
        <v>5.2221871587752746</v>
      </c>
      <c r="N7" s="342">
        <v>4.2875184542933686</v>
      </c>
      <c r="O7" s="345">
        <v>4.6834879999999997</v>
      </c>
      <c r="P7" s="474"/>
      <c r="Q7" s="515"/>
      <c r="R7" s="503"/>
      <c r="S7" s="124">
        <f>(2/6)*100</f>
        <v>33.333333333333329</v>
      </c>
      <c r="T7" s="433"/>
      <c r="U7" s="498"/>
    </row>
    <row r="8" spans="1:21" x14ac:dyDescent="0.2">
      <c r="A8" s="194" t="s">
        <v>6</v>
      </c>
      <c r="B8" s="195" t="s">
        <v>12</v>
      </c>
      <c r="C8" s="195" t="s">
        <v>47</v>
      </c>
      <c r="D8" s="196">
        <v>24</v>
      </c>
      <c r="E8" s="197">
        <v>30240</v>
      </c>
      <c r="F8" s="198">
        <v>3704</v>
      </c>
      <c r="G8" s="199">
        <v>15</v>
      </c>
      <c r="H8" s="425"/>
      <c r="I8" s="336">
        <v>3.7585957141521962</v>
      </c>
      <c r="J8" s="336">
        <v>4.1385823052251425</v>
      </c>
      <c r="K8" s="336">
        <v>4.2497102495551244</v>
      </c>
      <c r="L8" s="336">
        <v>4.3046812555895855</v>
      </c>
      <c r="M8" s="338">
        <v>5.0149895135161202</v>
      </c>
      <c r="N8" s="342">
        <v>4.0362669080257358</v>
      </c>
      <c r="O8" s="345">
        <v>4.2504710000000001</v>
      </c>
      <c r="P8" s="475"/>
      <c r="Q8" s="515"/>
      <c r="R8" s="503"/>
      <c r="S8" s="124">
        <f>(1/6)*100</f>
        <v>16.666666666666664</v>
      </c>
      <c r="T8" s="434"/>
      <c r="U8" s="498"/>
    </row>
    <row r="9" spans="1:21" x14ac:dyDescent="0.2">
      <c r="A9" s="183" t="s">
        <v>6</v>
      </c>
      <c r="B9" s="202" t="s">
        <v>13</v>
      </c>
      <c r="C9" s="184" t="s">
        <v>48</v>
      </c>
      <c r="D9" s="185">
        <v>40</v>
      </c>
      <c r="E9" s="186">
        <v>10400</v>
      </c>
      <c r="F9" s="187">
        <v>500</v>
      </c>
      <c r="G9" s="200">
        <v>3</v>
      </c>
      <c r="H9" s="425"/>
      <c r="I9" s="336">
        <v>4.7723496079815844</v>
      </c>
      <c r="J9" s="336">
        <v>4.5236514406961552</v>
      </c>
      <c r="K9" s="337">
        <v>3.9144064727951529</v>
      </c>
      <c r="L9" s="338">
        <v>5.1558002178223088</v>
      </c>
      <c r="M9" s="338">
        <v>5.1029548249653676</v>
      </c>
      <c r="N9" s="342">
        <v>4.4932639599333797</v>
      </c>
      <c r="O9" s="345">
        <v>4.6604039999999998</v>
      </c>
      <c r="P9" s="473">
        <v>4.5655632347281143</v>
      </c>
      <c r="Q9" s="515"/>
      <c r="R9" s="503"/>
      <c r="S9" s="124">
        <f>(2/6)*100</f>
        <v>33.333333333333329</v>
      </c>
      <c r="T9" s="432">
        <f>(4/18)*100</f>
        <v>22.222222222222221</v>
      </c>
      <c r="U9" s="498"/>
    </row>
    <row r="10" spans="1:21" x14ac:dyDescent="0.2">
      <c r="A10" s="189" t="s">
        <v>6</v>
      </c>
      <c r="B10" s="203" t="s">
        <v>13</v>
      </c>
      <c r="C10" s="190" t="s">
        <v>48</v>
      </c>
      <c r="D10" s="191">
        <v>40</v>
      </c>
      <c r="E10" s="192">
        <v>20400</v>
      </c>
      <c r="F10" s="181">
        <v>926</v>
      </c>
      <c r="G10" s="201">
        <v>7</v>
      </c>
      <c r="H10" s="425"/>
      <c r="I10" s="336">
        <v>4.644721140021125</v>
      </c>
      <c r="J10" s="336">
        <v>4.5501449479996419</v>
      </c>
      <c r="K10" s="336">
        <v>4.6440366178898671</v>
      </c>
      <c r="L10" s="338">
        <v>5.1271437864570304</v>
      </c>
      <c r="M10" s="338">
        <v>5.2043500155638052</v>
      </c>
      <c r="N10" s="342">
        <v>4.7592527036010237</v>
      </c>
      <c r="O10" s="345">
        <v>4.8216080000000003</v>
      </c>
      <c r="P10" s="474"/>
      <c r="Q10" s="515"/>
      <c r="R10" s="503"/>
      <c r="S10" s="124">
        <f>(2/6)*100</f>
        <v>33.333333333333329</v>
      </c>
      <c r="T10" s="433"/>
      <c r="U10" s="498"/>
    </row>
    <row r="11" spans="1:21" x14ac:dyDescent="0.2">
      <c r="A11" s="194" t="s">
        <v>6</v>
      </c>
      <c r="B11" s="204" t="s">
        <v>13</v>
      </c>
      <c r="C11" s="195" t="s">
        <v>48</v>
      </c>
      <c r="D11" s="196">
        <v>40</v>
      </c>
      <c r="E11" s="197">
        <v>30400</v>
      </c>
      <c r="F11" s="198">
        <v>3704</v>
      </c>
      <c r="G11" s="199">
        <v>13</v>
      </c>
      <c r="H11" s="426"/>
      <c r="I11" s="336">
        <v>4.3813639491527789</v>
      </c>
      <c r="J11" s="336">
        <v>3.6871243162805123</v>
      </c>
      <c r="K11" s="336">
        <v>4.336645238878404</v>
      </c>
      <c r="L11" s="336">
        <v>4.3329908937598125</v>
      </c>
      <c r="M11" s="336">
        <v>4.492317660812839</v>
      </c>
      <c r="N11" s="342">
        <v>4.057620430495283</v>
      </c>
      <c r="O11" s="345">
        <v>4.214677</v>
      </c>
      <c r="P11" s="475"/>
      <c r="Q11" s="515"/>
      <c r="R11" s="508"/>
      <c r="S11" s="124">
        <f t="shared" si="0"/>
        <v>0</v>
      </c>
      <c r="T11" s="434"/>
      <c r="U11" s="499"/>
    </row>
    <row r="12" spans="1:21" x14ac:dyDescent="0.2">
      <c r="A12" s="183" t="s">
        <v>6</v>
      </c>
      <c r="B12" s="205" t="s">
        <v>50</v>
      </c>
      <c r="C12" s="205" t="s">
        <v>51</v>
      </c>
      <c r="D12" s="185">
        <v>53</v>
      </c>
      <c r="E12" s="186">
        <v>10530</v>
      </c>
      <c r="F12" s="187">
        <v>500</v>
      </c>
      <c r="G12" s="200">
        <v>6.5</v>
      </c>
      <c r="H12" s="424" t="s">
        <v>83</v>
      </c>
      <c r="I12" s="336">
        <v>3.2472221850545089</v>
      </c>
      <c r="J12" s="336">
        <v>4.2697824877061938</v>
      </c>
      <c r="K12" s="336">
        <v>4.1231534875764275</v>
      </c>
      <c r="L12" s="338">
        <v>5.1515585792034351</v>
      </c>
      <c r="M12" s="336">
        <v>3.2756215555227359</v>
      </c>
      <c r="N12" s="342">
        <v>4.4019070524747965</v>
      </c>
      <c r="O12" s="345">
        <v>4.0782069999999999</v>
      </c>
      <c r="P12" s="473">
        <v>4.2358545249388406</v>
      </c>
      <c r="Q12" s="516">
        <f>AVERAGE(I12:N17)</f>
        <v>4.2659181433194062</v>
      </c>
      <c r="R12" s="502">
        <v>5</v>
      </c>
      <c r="S12" s="124">
        <f>(1/6)*100</f>
        <v>16.666666666666664</v>
      </c>
      <c r="T12" s="432">
        <f>(2/18)*100</f>
        <v>11.111111111111111</v>
      </c>
      <c r="U12" s="497">
        <f>(5/36)*100</f>
        <v>13.888888888888889</v>
      </c>
    </row>
    <row r="13" spans="1:21" x14ac:dyDescent="0.2">
      <c r="A13" s="189" t="s">
        <v>6</v>
      </c>
      <c r="B13" s="206" t="s">
        <v>50</v>
      </c>
      <c r="C13" s="206" t="s">
        <v>51</v>
      </c>
      <c r="D13" s="191">
        <v>53</v>
      </c>
      <c r="E13" s="192">
        <v>20530</v>
      </c>
      <c r="F13" s="181">
        <v>926</v>
      </c>
      <c r="G13" s="201">
        <v>7</v>
      </c>
      <c r="H13" s="425"/>
      <c r="I13" s="336">
        <v>3.9363298275905323</v>
      </c>
      <c r="J13" s="336">
        <v>4.0768347597742496</v>
      </c>
      <c r="K13" s="336">
        <v>4.6217323526015877</v>
      </c>
      <c r="L13" s="336">
        <v>4.971158740597871</v>
      </c>
      <c r="M13" s="336">
        <v>3.8922536077427092</v>
      </c>
      <c r="N13" s="342">
        <v>4.3265305335784765</v>
      </c>
      <c r="O13" s="345">
        <v>4.3041400000000003</v>
      </c>
      <c r="P13" s="474"/>
      <c r="Q13" s="516"/>
      <c r="R13" s="503"/>
      <c r="S13" s="124">
        <f t="shared" si="0"/>
        <v>0</v>
      </c>
      <c r="T13" s="433"/>
      <c r="U13" s="498"/>
    </row>
    <row r="14" spans="1:21" x14ac:dyDescent="0.2">
      <c r="A14" s="194" t="s">
        <v>6</v>
      </c>
      <c r="B14" s="207" t="s">
        <v>50</v>
      </c>
      <c r="C14" s="207" t="s">
        <v>51</v>
      </c>
      <c r="D14" s="196">
        <v>53</v>
      </c>
      <c r="E14" s="197">
        <v>30530</v>
      </c>
      <c r="F14" s="198">
        <v>3704</v>
      </c>
      <c r="G14" s="199">
        <v>14</v>
      </c>
      <c r="H14" s="425"/>
      <c r="I14" s="336">
        <v>4.4003205548125885</v>
      </c>
      <c r="J14" s="336">
        <v>3.4122856485930906</v>
      </c>
      <c r="K14" s="336">
        <v>4.6573837212656013</v>
      </c>
      <c r="L14" s="338">
        <v>5.1684908808033434</v>
      </c>
      <c r="M14" s="336">
        <v>3.8888889543225424</v>
      </c>
      <c r="N14" s="342">
        <v>4.4239265196784405</v>
      </c>
      <c r="O14" s="345">
        <v>4.3252160000000002</v>
      </c>
      <c r="P14" s="475"/>
      <c r="Q14" s="516"/>
      <c r="R14" s="503"/>
      <c r="S14" s="124">
        <f>(1/6)*100</f>
        <v>16.666666666666664</v>
      </c>
      <c r="T14" s="434"/>
      <c r="U14" s="498"/>
    </row>
    <row r="15" spans="1:21" x14ac:dyDescent="0.2">
      <c r="A15" s="183" t="s">
        <v>6</v>
      </c>
      <c r="B15" s="205" t="s">
        <v>49</v>
      </c>
      <c r="C15" s="205" t="s">
        <v>52</v>
      </c>
      <c r="D15" s="185">
        <v>56</v>
      </c>
      <c r="E15" s="186">
        <v>10560</v>
      </c>
      <c r="F15" s="187">
        <v>500</v>
      </c>
      <c r="G15" s="200">
        <v>3.5</v>
      </c>
      <c r="H15" s="425"/>
      <c r="I15" s="336">
        <v>2.9451799818327098</v>
      </c>
      <c r="J15" s="336">
        <v>3.5095034916323917</v>
      </c>
      <c r="K15" s="336">
        <v>4.9992673652240418</v>
      </c>
      <c r="L15" s="336">
        <v>4.8365607064151099</v>
      </c>
      <c r="M15" s="336">
        <v>3.771869296127865</v>
      </c>
      <c r="N15" s="342">
        <v>3.7920706309362213</v>
      </c>
      <c r="O15" s="346">
        <v>3.9757419999999999</v>
      </c>
      <c r="P15" s="473">
        <v>4.2959817616999736</v>
      </c>
      <c r="Q15" s="516"/>
      <c r="R15" s="503"/>
      <c r="S15" s="124">
        <f t="shared" si="0"/>
        <v>0</v>
      </c>
      <c r="T15" s="432">
        <f>(3/18)*100</f>
        <v>16.666666666666664</v>
      </c>
      <c r="U15" s="498"/>
    </row>
    <row r="16" spans="1:21" x14ac:dyDescent="0.2">
      <c r="A16" s="189" t="s">
        <v>6</v>
      </c>
      <c r="B16" s="206" t="s">
        <v>49</v>
      </c>
      <c r="C16" s="206" t="s">
        <v>52</v>
      </c>
      <c r="D16" s="191">
        <v>56</v>
      </c>
      <c r="E16" s="181">
        <v>20560</v>
      </c>
      <c r="F16" s="181">
        <v>926</v>
      </c>
      <c r="G16" s="201">
        <v>5</v>
      </c>
      <c r="H16" s="425"/>
      <c r="I16" s="336">
        <v>3.6751536869750399</v>
      </c>
      <c r="J16" s="336">
        <v>4.3141706060834135</v>
      </c>
      <c r="K16" s="336">
        <v>4.8428950657052736</v>
      </c>
      <c r="L16" s="338">
        <v>5.2005015004186799</v>
      </c>
      <c r="M16" s="336">
        <v>4.151187040139809</v>
      </c>
      <c r="N16" s="342">
        <v>4.6267914985820298</v>
      </c>
      <c r="O16" s="345">
        <v>4.4684499999999998</v>
      </c>
      <c r="P16" s="474"/>
      <c r="Q16" s="516"/>
      <c r="R16" s="503"/>
      <c r="S16" s="124">
        <f>(1/6)*100</f>
        <v>16.666666666666664</v>
      </c>
      <c r="T16" s="433"/>
      <c r="U16" s="498"/>
    </row>
    <row r="17" spans="1:21" x14ac:dyDescent="0.2">
      <c r="A17" s="194" t="s">
        <v>6</v>
      </c>
      <c r="B17" s="207" t="s">
        <v>49</v>
      </c>
      <c r="C17" s="207" t="s">
        <v>52</v>
      </c>
      <c r="D17" s="196">
        <v>56</v>
      </c>
      <c r="E17" s="198">
        <v>30560</v>
      </c>
      <c r="F17" s="198">
        <v>3704</v>
      </c>
      <c r="G17" s="199">
        <v>16</v>
      </c>
      <c r="H17" s="426"/>
      <c r="I17" s="336">
        <v>3.6497220424083188</v>
      </c>
      <c r="J17" s="336">
        <v>3.9541009958021895</v>
      </c>
      <c r="K17" s="338">
        <v>5.066266390953615</v>
      </c>
      <c r="L17" s="338">
        <v>6.0080972149486742</v>
      </c>
      <c r="M17" s="336">
        <v>3.5907690986515028</v>
      </c>
      <c r="N17" s="342">
        <v>4.3935650977626342</v>
      </c>
      <c r="O17" s="345">
        <v>4.4437530000000001</v>
      </c>
      <c r="P17" s="475"/>
      <c r="Q17" s="516"/>
      <c r="R17" s="508"/>
      <c r="S17" s="124">
        <f>(2/6)*100</f>
        <v>33.333333333333329</v>
      </c>
      <c r="T17" s="434"/>
      <c r="U17" s="499"/>
    </row>
    <row r="18" spans="1:21" x14ac:dyDescent="0.2">
      <c r="A18" s="183" t="s">
        <v>6</v>
      </c>
      <c r="B18" s="205" t="s">
        <v>16</v>
      </c>
      <c r="C18" s="205" t="s">
        <v>53</v>
      </c>
      <c r="D18" s="185">
        <v>64</v>
      </c>
      <c r="E18" s="187">
        <v>10640</v>
      </c>
      <c r="F18" s="187">
        <v>500</v>
      </c>
      <c r="G18" s="200">
        <v>6</v>
      </c>
      <c r="H18" s="410" t="s">
        <v>88</v>
      </c>
      <c r="I18" s="336">
        <v>3.5066583740041075</v>
      </c>
      <c r="J18" s="336">
        <v>4.950833776877035</v>
      </c>
      <c r="K18" s="338">
        <v>5.7797565071806991</v>
      </c>
      <c r="L18" s="338">
        <v>6.5823711010970571</v>
      </c>
      <c r="M18" s="336">
        <v>4.4148546871176952</v>
      </c>
      <c r="N18" s="342">
        <v>4.7774582339273017</v>
      </c>
      <c r="O18" s="347">
        <v>5.001989</v>
      </c>
      <c r="P18" s="473">
        <v>4.8852120156744343</v>
      </c>
      <c r="Q18" s="500">
        <f>AVERAGE(I18:N20)</f>
        <v>4.8852120156744343</v>
      </c>
      <c r="R18" s="502">
        <v>5</v>
      </c>
      <c r="S18" s="124">
        <f>(2/6)*100</f>
        <v>33.333333333333329</v>
      </c>
      <c r="T18" s="432">
        <f>(8/18)*100</f>
        <v>44.444444444444443</v>
      </c>
      <c r="U18" s="494">
        <f>(8/18)*100</f>
        <v>44.444444444444443</v>
      </c>
    </row>
    <row r="19" spans="1:21" x14ac:dyDescent="0.2">
      <c r="A19" s="189" t="s">
        <v>6</v>
      </c>
      <c r="B19" s="206" t="s">
        <v>16</v>
      </c>
      <c r="C19" s="206" t="s">
        <v>53</v>
      </c>
      <c r="D19" s="191">
        <v>64</v>
      </c>
      <c r="E19" s="181">
        <v>20640</v>
      </c>
      <c r="F19" s="181">
        <v>926</v>
      </c>
      <c r="G19" s="201">
        <v>10</v>
      </c>
      <c r="H19" s="411"/>
      <c r="I19" s="336">
        <v>3.4749728185745918</v>
      </c>
      <c r="J19" s="336">
        <v>4.9652641635929546</v>
      </c>
      <c r="K19" s="338">
        <v>5.8309763468178506</v>
      </c>
      <c r="L19" s="338">
        <v>6.3015732844974508</v>
      </c>
      <c r="M19" s="338">
        <v>5.2265136730229704</v>
      </c>
      <c r="N19" s="342">
        <v>4.1599380811097282</v>
      </c>
      <c r="O19" s="345">
        <v>4.993207</v>
      </c>
      <c r="P19" s="474"/>
      <c r="Q19" s="501"/>
      <c r="R19" s="503"/>
      <c r="S19" s="124">
        <f>(3/6)*100</f>
        <v>50</v>
      </c>
      <c r="T19" s="433"/>
      <c r="U19" s="494"/>
    </row>
    <row r="20" spans="1:21" x14ac:dyDescent="0.2">
      <c r="A20" s="194" t="s">
        <v>6</v>
      </c>
      <c r="B20" s="207" t="s">
        <v>16</v>
      </c>
      <c r="C20" s="207" t="s">
        <v>53</v>
      </c>
      <c r="D20" s="196">
        <v>64</v>
      </c>
      <c r="E20" s="198">
        <v>30640</v>
      </c>
      <c r="F20" s="198">
        <v>3704</v>
      </c>
      <c r="G20" s="199">
        <v>19</v>
      </c>
      <c r="H20" s="411"/>
      <c r="I20" s="336">
        <v>3.4276660670310277</v>
      </c>
      <c r="J20" s="336">
        <v>3.4825986169500487</v>
      </c>
      <c r="K20" s="338">
        <v>5.5434979935038324</v>
      </c>
      <c r="L20" s="338">
        <v>6.2383396409331668</v>
      </c>
      <c r="M20" s="338">
        <v>5.279162731622935</v>
      </c>
      <c r="N20" s="342">
        <v>3.9913801842793837</v>
      </c>
      <c r="O20" s="345">
        <v>4.6604409999999996</v>
      </c>
      <c r="P20" s="475"/>
      <c r="Q20" s="501"/>
      <c r="R20" s="503"/>
      <c r="S20" s="124">
        <f>(3/6)*100</f>
        <v>50</v>
      </c>
      <c r="T20" s="434"/>
      <c r="U20" s="494"/>
    </row>
    <row r="21" spans="1:21" x14ac:dyDescent="0.2">
      <c r="A21" s="183" t="s">
        <v>19</v>
      </c>
      <c r="B21" s="205" t="s">
        <v>20</v>
      </c>
      <c r="C21" s="205" t="s">
        <v>54</v>
      </c>
      <c r="D21" s="185">
        <v>72</v>
      </c>
      <c r="E21" s="187">
        <v>10720</v>
      </c>
      <c r="F21" s="187">
        <v>500</v>
      </c>
      <c r="G21" s="200">
        <v>3</v>
      </c>
      <c r="H21" s="410" t="s">
        <v>84</v>
      </c>
      <c r="I21" s="338">
        <v>5.6231966714970651</v>
      </c>
      <c r="J21" s="338">
        <v>5.8440920414764861</v>
      </c>
      <c r="K21" s="336">
        <v>4.744591856681839</v>
      </c>
      <c r="L21" s="338">
        <v>5.0268101009624493</v>
      </c>
      <c r="M21" s="338">
        <v>6.2231892832873106</v>
      </c>
      <c r="N21" s="343">
        <v>5.651840966944123</v>
      </c>
      <c r="O21" s="347">
        <v>5.5189529999999998</v>
      </c>
      <c r="P21" s="476">
        <v>5.4012073134124172</v>
      </c>
      <c r="Q21" s="495">
        <f>AVERAGE(I21:N29)</f>
        <v>5.5468448800402186</v>
      </c>
      <c r="R21" s="496">
        <v>5</v>
      </c>
      <c r="S21" s="124">
        <f>(5/6)*100</f>
        <v>83.333333333333343</v>
      </c>
      <c r="T21" s="432">
        <f>(16/18)*100</f>
        <v>88.888888888888886</v>
      </c>
      <c r="U21" s="494">
        <f>(43/54)*100</f>
        <v>79.629629629629633</v>
      </c>
    </row>
    <row r="22" spans="1:21" x14ac:dyDescent="0.2">
      <c r="A22" s="189" t="s">
        <v>19</v>
      </c>
      <c r="B22" s="206" t="s">
        <v>20</v>
      </c>
      <c r="C22" s="206" t="s">
        <v>54</v>
      </c>
      <c r="D22" s="191">
        <v>72</v>
      </c>
      <c r="E22" s="181">
        <v>20720</v>
      </c>
      <c r="F22" s="181">
        <v>926</v>
      </c>
      <c r="G22" s="201">
        <v>6</v>
      </c>
      <c r="H22" s="411"/>
      <c r="I22" s="338">
        <v>5.2718085727269983</v>
      </c>
      <c r="J22" s="336">
        <v>4.0126064342321879</v>
      </c>
      <c r="K22" s="338">
        <v>5.1318723725925164</v>
      </c>
      <c r="L22" s="338">
        <v>5.7662783578895525</v>
      </c>
      <c r="M22" s="338">
        <v>5.9807984893787944</v>
      </c>
      <c r="N22" s="343">
        <v>5.6340669980721252</v>
      </c>
      <c r="O22" s="347">
        <v>5.2995720000000004</v>
      </c>
      <c r="P22" s="477"/>
      <c r="Q22" s="495"/>
      <c r="R22" s="496"/>
      <c r="S22" s="124">
        <f>(5/6)*100</f>
        <v>83.333333333333343</v>
      </c>
      <c r="T22" s="433"/>
      <c r="U22" s="494"/>
    </row>
    <row r="23" spans="1:21" x14ac:dyDescent="0.2">
      <c r="A23" s="194" t="s">
        <v>19</v>
      </c>
      <c r="B23" s="207" t="s">
        <v>20</v>
      </c>
      <c r="C23" s="207" t="s">
        <v>54</v>
      </c>
      <c r="D23" s="196">
        <v>72</v>
      </c>
      <c r="E23" s="198">
        <v>30720</v>
      </c>
      <c r="F23" s="198">
        <v>3704</v>
      </c>
      <c r="G23" s="199">
        <v>14</v>
      </c>
      <c r="H23" s="411"/>
      <c r="I23" s="338">
        <v>5.2681158116751998</v>
      </c>
      <c r="J23" s="338">
        <v>5.2102015356435851</v>
      </c>
      <c r="K23" s="338">
        <v>5.9659803236507489</v>
      </c>
      <c r="L23" s="338">
        <v>5.2286279375431066</v>
      </c>
      <c r="M23" s="338">
        <v>5.0155439559686839</v>
      </c>
      <c r="N23" s="343">
        <v>5.6221099312007308</v>
      </c>
      <c r="O23" s="347">
        <v>5.385097</v>
      </c>
      <c r="P23" s="478"/>
      <c r="Q23" s="495"/>
      <c r="R23" s="496"/>
      <c r="S23" s="124">
        <f>(6/6)*100</f>
        <v>100</v>
      </c>
      <c r="T23" s="434"/>
      <c r="U23" s="494"/>
    </row>
    <row r="24" spans="1:21" x14ac:dyDescent="0.2">
      <c r="A24" s="183" t="s">
        <v>19</v>
      </c>
      <c r="B24" s="208" t="s">
        <v>24</v>
      </c>
      <c r="C24" s="208" t="s">
        <v>25</v>
      </c>
      <c r="D24" s="185">
        <v>601</v>
      </c>
      <c r="E24" s="209">
        <v>16010</v>
      </c>
      <c r="F24" s="187">
        <v>500</v>
      </c>
      <c r="G24" s="200">
        <v>6</v>
      </c>
      <c r="H24" s="411"/>
      <c r="I24" s="338">
        <v>6.1215861991462441</v>
      </c>
      <c r="J24" s="338">
        <v>5.5819315478087352</v>
      </c>
      <c r="K24" s="338">
        <v>5.4595595983986875</v>
      </c>
      <c r="L24" s="338">
        <v>5.1715798286583601</v>
      </c>
      <c r="M24" s="338">
        <v>5.3381396520699766</v>
      </c>
      <c r="N24" s="343">
        <v>6.6091751296660419</v>
      </c>
      <c r="O24" s="347">
        <v>5.7136620000000002</v>
      </c>
      <c r="P24" s="476">
        <v>5.6996613346552571</v>
      </c>
      <c r="Q24" s="495"/>
      <c r="R24" s="496"/>
      <c r="S24" s="124">
        <f>(6/6)*100</f>
        <v>100</v>
      </c>
      <c r="T24" s="432">
        <f>(15/18)*100</f>
        <v>83.333333333333343</v>
      </c>
      <c r="U24" s="494"/>
    </row>
    <row r="25" spans="1:21" x14ac:dyDescent="0.2">
      <c r="A25" s="189" t="s">
        <v>19</v>
      </c>
      <c r="B25" s="182" t="s">
        <v>24</v>
      </c>
      <c r="C25" s="182" t="s">
        <v>25</v>
      </c>
      <c r="D25" s="191">
        <v>601</v>
      </c>
      <c r="E25" s="210">
        <v>26010</v>
      </c>
      <c r="F25" s="181">
        <v>926</v>
      </c>
      <c r="G25" s="201">
        <v>16</v>
      </c>
      <c r="H25" s="411"/>
      <c r="I25" s="338">
        <v>6.0517807175651033</v>
      </c>
      <c r="J25" s="338">
        <v>6.1535529047400646</v>
      </c>
      <c r="K25" s="338">
        <v>5.6502908166346275</v>
      </c>
      <c r="L25" s="336">
        <v>4.9505467180608322</v>
      </c>
      <c r="M25" s="338">
        <v>5.1205562027492428</v>
      </c>
      <c r="N25" s="343">
        <v>6.951867237650255</v>
      </c>
      <c r="O25" s="347">
        <v>5.8130990000000002</v>
      </c>
      <c r="P25" s="477"/>
      <c r="Q25" s="495"/>
      <c r="R25" s="496"/>
      <c r="S25" s="124">
        <f>(5/6)*100</f>
        <v>83.333333333333343</v>
      </c>
      <c r="T25" s="433"/>
      <c r="U25" s="494"/>
    </row>
    <row r="26" spans="1:21" x14ac:dyDescent="0.2">
      <c r="A26" s="194" t="s">
        <v>19</v>
      </c>
      <c r="B26" s="211" t="s">
        <v>24</v>
      </c>
      <c r="C26" s="211" t="s">
        <v>25</v>
      </c>
      <c r="D26" s="196">
        <v>601</v>
      </c>
      <c r="E26" s="212">
        <v>36010</v>
      </c>
      <c r="F26" s="198">
        <v>3704</v>
      </c>
      <c r="G26" s="199">
        <v>27</v>
      </c>
      <c r="H26" s="411"/>
      <c r="I26" s="338">
        <v>6.4846754398052777</v>
      </c>
      <c r="J26" s="338">
        <v>5.941514423555768</v>
      </c>
      <c r="K26" s="338">
        <v>5.1465082752343791</v>
      </c>
      <c r="L26" s="336">
        <v>4.5558716690924417</v>
      </c>
      <c r="M26" s="336">
        <v>4.7688280513095309</v>
      </c>
      <c r="N26" s="343">
        <v>6.5359396116490522</v>
      </c>
      <c r="O26" s="347">
        <v>5.5722230000000001</v>
      </c>
      <c r="P26" s="478"/>
      <c r="Q26" s="495"/>
      <c r="R26" s="496"/>
      <c r="S26" s="124">
        <f>(4/6)*100</f>
        <v>66.666666666666657</v>
      </c>
      <c r="T26" s="434"/>
      <c r="U26" s="494"/>
    </row>
    <row r="27" spans="1:21" x14ac:dyDescent="0.2">
      <c r="A27" s="213" t="s">
        <v>19</v>
      </c>
      <c r="B27" s="208" t="s">
        <v>24</v>
      </c>
      <c r="C27" s="208" t="s">
        <v>78</v>
      </c>
      <c r="D27" s="185">
        <v>82</v>
      </c>
      <c r="E27" s="187">
        <v>10820</v>
      </c>
      <c r="F27" s="187">
        <v>500</v>
      </c>
      <c r="G27" s="200">
        <v>5</v>
      </c>
      <c r="H27" s="411"/>
      <c r="I27" s="336">
        <v>4.4697011013968337</v>
      </c>
      <c r="J27" s="338">
        <v>6.2985361760208463</v>
      </c>
      <c r="K27" s="338">
        <v>6.3148798643922222</v>
      </c>
      <c r="L27" s="338">
        <v>6.5060901664881561</v>
      </c>
      <c r="M27" s="338">
        <v>5.9076807094061055</v>
      </c>
      <c r="N27" s="343">
        <v>6.1842024195586527</v>
      </c>
      <c r="O27" s="347">
        <v>5.9468480000000001</v>
      </c>
      <c r="P27" s="476">
        <v>5.5396659920529876</v>
      </c>
      <c r="Q27" s="495"/>
      <c r="R27" s="496"/>
      <c r="S27" s="124">
        <f>(5/6)*100</f>
        <v>83.333333333333343</v>
      </c>
      <c r="T27" s="432">
        <f>(12/18)*100</f>
        <v>66.666666666666657</v>
      </c>
      <c r="U27" s="494"/>
    </row>
    <row r="28" spans="1:21" x14ac:dyDescent="0.2">
      <c r="A28" s="214" t="s">
        <v>19</v>
      </c>
      <c r="B28" s="182" t="s">
        <v>24</v>
      </c>
      <c r="C28" s="182" t="s">
        <v>78</v>
      </c>
      <c r="D28" s="191">
        <v>82</v>
      </c>
      <c r="E28" s="181">
        <v>20820</v>
      </c>
      <c r="F28" s="181">
        <v>926</v>
      </c>
      <c r="G28" s="201">
        <v>7</v>
      </c>
      <c r="H28" s="411"/>
      <c r="I28" s="338">
        <v>5.2276571669193972</v>
      </c>
      <c r="J28" s="336">
        <v>4.7217549825290455</v>
      </c>
      <c r="K28" s="338">
        <v>6.2537818232729183</v>
      </c>
      <c r="L28" s="338">
        <v>6.2824915480499879</v>
      </c>
      <c r="M28" s="338">
        <v>5.6861459035747464</v>
      </c>
      <c r="N28" s="343">
        <v>5.2216058500969655</v>
      </c>
      <c r="O28" s="347">
        <v>5.5655729999999997</v>
      </c>
      <c r="P28" s="477"/>
      <c r="Q28" s="495"/>
      <c r="R28" s="496"/>
      <c r="S28" s="124">
        <f>(5/6)*100</f>
        <v>83.333333333333343</v>
      </c>
      <c r="T28" s="433"/>
      <c r="U28" s="494"/>
    </row>
    <row r="29" spans="1:21" x14ac:dyDescent="0.2">
      <c r="A29" s="215" t="s">
        <v>19</v>
      </c>
      <c r="B29" s="211" t="s">
        <v>24</v>
      </c>
      <c r="C29" s="211" t="s">
        <v>78</v>
      </c>
      <c r="D29" s="196">
        <v>82</v>
      </c>
      <c r="E29" s="198">
        <v>30820</v>
      </c>
      <c r="F29" s="198">
        <v>3704</v>
      </c>
      <c r="G29" s="199">
        <v>15</v>
      </c>
      <c r="H29" s="412"/>
      <c r="I29" s="336">
        <v>4.9724882140536977</v>
      </c>
      <c r="J29" s="338">
        <v>6.600100902178804</v>
      </c>
      <c r="K29" s="336">
        <v>4.3959960733878001</v>
      </c>
      <c r="L29" s="336">
        <v>3.9999409196722864</v>
      </c>
      <c r="M29" s="336">
        <v>3.7420695356547418</v>
      </c>
      <c r="N29" s="343">
        <v>6.9288645003005644</v>
      </c>
      <c r="O29" s="347">
        <v>5.1065769999999997</v>
      </c>
      <c r="P29" s="478"/>
      <c r="Q29" s="495"/>
      <c r="R29" s="496"/>
      <c r="S29" s="124">
        <f>(2/6)*100</f>
        <v>33.333333333333329</v>
      </c>
      <c r="T29" s="434"/>
      <c r="U29" s="494"/>
    </row>
    <row r="30" spans="1:21" ht="15" x14ac:dyDescent="0.2">
      <c r="A30" s="216" t="s">
        <v>6</v>
      </c>
      <c r="B30" s="161" t="s">
        <v>50</v>
      </c>
      <c r="C30" s="161" t="s">
        <v>106</v>
      </c>
      <c r="D30" s="241">
        <v>53</v>
      </c>
      <c r="E30" s="158">
        <v>40530</v>
      </c>
      <c r="F30" s="218">
        <v>8334</v>
      </c>
      <c r="G30" s="219">
        <v>18</v>
      </c>
      <c r="H30" s="222" t="s">
        <v>104</v>
      </c>
      <c r="I30" s="230">
        <v>3.8388617678276677</v>
      </c>
      <c r="J30" s="230">
        <v>2.700721027225784</v>
      </c>
      <c r="K30" s="230">
        <v>4.2957237364982648</v>
      </c>
      <c r="L30" s="334">
        <v>5.3201407494675736</v>
      </c>
      <c r="M30" s="230">
        <v>3.4019231436326836</v>
      </c>
      <c r="N30" s="290">
        <v>4.0835789602476584</v>
      </c>
      <c r="O30" s="346">
        <v>3.9401579999999998</v>
      </c>
      <c r="P30" s="340">
        <v>3.9401579999999998</v>
      </c>
      <c r="Q30" s="348">
        <v>3.9401579999999998</v>
      </c>
      <c r="R30" s="313">
        <v>4.5</v>
      </c>
      <c r="S30" s="124">
        <f>(1/6)*100</f>
        <v>16.666666666666664</v>
      </c>
      <c r="T30" s="124">
        <f>(1/6)*100</f>
        <v>16.666666666666664</v>
      </c>
      <c r="U30" s="314">
        <f>(1/6)*100</f>
        <v>16.666666666666664</v>
      </c>
    </row>
    <row r="31" spans="1:21" ht="15.75" thickBot="1" x14ac:dyDescent="0.25">
      <c r="A31" s="216" t="s">
        <v>19</v>
      </c>
      <c r="B31" s="161" t="s">
        <v>20</v>
      </c>
      <c r="C31" s="161" t="s">
        <v>54</v>
      </c>
      <c r="D31" s="196">
        <v>72</v>
      </c>
      <c r="E31" s="218">
        <v>40720</v>
      </c>
      <c r="F31" s="218">
        <v>7233</v>
      </c>
      <c r="G31" s="219">
        <v>21</v>
      </c>
      <c r="H31" s="223" t="s">
        <v>105</v>
      </c>
      <c r="I31" s="339">
        <v>5.6678207516952748</v>
      </c>
      <c r="J31" s="339">
        <v>4.9951544936161403</v>
      </c>
      <c r="K31" s="339">
        <v>5.2236987250638673</v>
      </c>
      <c r="L31" s="339">
        <v>5.0879638362277113</v>
      </c>
      <c r="M31" s="339">
        <v>4.7636047074320276</v>
      </c>
      <c r="N31" s="344">
        <v>4.9235425390983298</v>
      </c>
      <c r="O31" s="349">
        <v>5.1102980000000002</v>
      </c>
      <c r="P31" s="350">
        <v>5.1102980000000002</v>
      </c>
      <c r="Q31" s="351">
        <v>5.1102980000000002</v>
      </c>
      <c r="R31" s="315">
        <v>4.5</v>
      </c>
      <c r="S31" s="316">
        <f>(6/6)*100</f>
        <v>100</v>
      </c>
      <c r="T31" s="316">
        <f>(6/6)*100</f>
        <v>100</v>
      </c>
      <c r="U31" s="317">
        <f>(6/6)*100</f>
        <v>100</v>
      </c>
    </row>
    <row r="33" spans="1:22" s="171" customFormat="1" x14ac:dyDescent="0.2">
      <c r="A33" s="181"/>
      <c r="B33" s="182"/>
      <c r="C33" s="182"/>
      <c r="D33" s="182"/>
      <c r="E33" s="181"/>
      <c r="F33" s="182"/>
      <c r="G33" s="182"/>
      <c r="H33" s="182"/>
      <c r="I33"/>
      <c r="J33" s="224"/>
      <c r="K33"/>
      <c r="L33"/>
      <c r="M33"/>
      <c r="N33"/>
      <c r="O33"/>
      <c r="P33" s="256"/>
      <c r="Q33" s="256"/>
      <c r="S33"/>
      <c r="T33"/>
      <c r="U33"/>
      <c r="V33"/>
    </row>
    <row r="34" spans="1:22" s="171" customFormat="1" x14ac:dyDescent="0.2">
      <c r="A34" s="181"/>
      <c r="B34" s="182"/>
      <c r="C34" s="182"/>
      <c r="D34" s="182"/>
      <c r="E34" s="181"/>
      <c r="F34" s="182"/>
      <c r="G34" s="182"/>
      <c r="H34" s="182"/>
      <c r="I34"/>
      <c r="J34"/>
      <c r="K34" s="299"/>
      <c r="L34" s="299"/>
      <c r="M34"/>
      <c r="N34"/>
      <c r="O34"/>
      <c r="P34" s="256"/>
      <c r="Q34" s="256"/>
      <c r="S34"/>
      <c r="T34"/>
      <c r="U34"/>
      <c r="V34"/>
    </row>
    <row r="35" spans="1:22" s="171" customFormat="1" x14ac:dyDescent="0.2">
      <c r="A35" s="181"/>
      <c r="B35" s="182"/>
      <c r="C35" s="182"/>
      <c r="D35" s="182"/>
      <c r="E35" s="181"/>
      <c r="F35" s="182"/>
      <c r="G35" s="182"/>
      <c r="H35" s="182"/>
      <c r="I35"/>
      <c r="J35"/>
      <c r="K35" s="299"/>
      <c r="L35" s="299"/>
      <c r="M35"/>
      <c r="N35"/>
      <c r="O35"/>
      <c r="P35" s="256"/>
      <c r="Q35" s="256"/>
      <c r="S35"/>
      <c r="T35"/>
      <c r="U35"/>
      <c r="V35"/>
    </row>
    <row r="36" spans="1:22" s="171" customFormat="1" x14ac:dyDescent="0.2">
      <c r="A36" s="181"/>
      <c r="B36" s="182"/>
      <c r="C36" s="182"/>
      <c r="D36" s="182"/>
      <c r="E36" s="181"/>
      <c r="F36" s="182"/>
      <c r="G36" s="182"/>
      <c r="H36" s="182"/>
      <c r="I36"/>
      <c r="J36"/>
      <c r="K36" s="299"/>
      <c r="L36" s="299"/>
      <c r="M36"/>
      <c r="N36"/>
      <c r="O36"/>
      <c r="P36" s="256"/>
      <c r="Q36"/>
      <c r="S36"/>
      <c r="T36"/>
      <c r="U36"/>
      <c r="V36"/>
    </row>
    <row r="37" spans="1:22" s="171" customFormat="1" x14ac:dyDescent="0.2">
      <c r="A37" s="181"/>
      <c r="B37" s="182"/>
      <c r="C37" s="182"/>
      <c r="D37" s="182"/>
      <c r="E37" s="181"/>
      <c r="F37" s="182"/>
      <c r="G37" s="182"/>
      <c r="H37" s="182"/>
      <c r="I37"/>
      <c r="J37"/>
      <c r="K37" s="299"/>
      <c r="L37" s="299"/>
      <c r="M37"/>
      <c r="N37"/>
      <c r="O37"/>
      <c r="P37" s="256"/>
      <c r="Q37"/>
      <c r="S37"/>
      <c r="T37"/>
      <c r="U37"/>
      <c r="V37"/>
    </row>
    <row r="38" spans="1:22" s="171" customFormat="1" x14ac:dyDescent="0.2">
      <c r="A38" s="181"/>
      <c r="B38" s="182"/>
      <c r="C38" s="182"/>
      <c r="D38" s="182"/>
      <c r="E38" s="181"/>
      <c r="F38" s="182"/>
      <c r="G38" s="182"/>
      <c r="H38" s="182"/>
      <c r="I38"/>
      <c r="J38"/>
      <c r="K38" s="299"/>
      <c r="L38" s="299"/>
      <c r="M38"/>
      <c r="N38"/>
      <c r="O38"/>
      <c r="P38" s="256"/>
      <c r="Q38"/>
      <c r="S38"/>
      <c r="T38"/>
      <c r="U38"/>
      <c r="V38"/>
    </row>
    <row r="39" spans="1:22" s="171" customFormat="1" x14ac:dyDescent="0.2">
      <c r="A39" s="181"/>
      <c r="B39" s="182"/>
      <c r="C39" s="182"/>
      <c r="D39" s="182"/>
      <c r="E39" s="181"/>
      <c r="F39" s="182"/>
      <c r="G39" s="182"/>
      <c r="H39" s="182"/>
      <c r="I39"/>
      <c r="J39"/>
      <c r="K39" s="299"/>
      <c r="L39" s="299"/>
      <c r="M39"/>
      <c r="N39"/>
      <c r="O39"/>
      <c r="P39" s="256"/>
      <c r="Q39"/>
      <c r="S39"/>
      <c r="T39"/>
      <c r="U39"/>
      <c r="V39"/>
    </row>
    <row r="40" spans="1:22" s="171" customFormat="1" x14ac:dyDescent="0.2">
      <c r="A40" s="181"/>
      <c r="B40" s="182"/>
      <c r="C40" s="182"/>
      <c r="D40" s="182"/>
      <c r="E40" s="181"/>
      <c r="F40" s="182"/>
      <c r="G40" s="182"/>
      <c r="H40" s="182"/>
      <c r="I40"/>
      <c r="J40"/>
      <c r="K40" s="299"/>
      <c r="L40" s="299"/>
      <c r="M40"/>
      <c r="N40"/>
      <c r="O40"/>
      <c r="P40"/>
      <c r="Q40"/>
      <c r="S40"/>
      <c r="T40"/>
      <c r="U40"/>
      <c r="V40"/>
    </row>
  </sheetData>
  <mergeCells count="36">
    <mergeCell ref="H21:H29"/>
    <mergeCell ref="P21:P23"/>
    <mergeCell ref="Q21:Q29"/>
    <mergeCell ref="R21:R29"/>
    <mergeCell ref="T21:T23"/>
    <mergeCell ref="U21:U29"/>
    <mergeCell ref="P24:P26"/>
    <mergeCell ref="T24:T26"/>
    <mergeCell ref="P27:P29"/>
    <mergeCell ref="T27:T29"/>
    <mergeCell ref="U12:U17"/>
    <mergeCell ref="P15:P17"/>
    <mergeCell ref="T15:T17"/>
    <mergeCell ref="H18:H20"/>
    <mergeCell ref="P18:P20"/>
    <mergeCell ref="Q18:Q20"/>
    <mergeCell ref="R18:R20"/>
    <mergeCell ref="T18:T20"/>
    <mergeCell ref="U18:U20"/>
    <mergeCell ref="H12:H17"/>
    <mergeCell ref="P12:P14"/>
    <mergeCell ref="Q12:Q17"/>
    <mergeCell ref="R12:R17"/>
    <mergeCell ref="T12:T14"/>
    <mergeCell ref="O1:Q1"/>
    <mergeCell ref="R1:U1"/>
    <mergeCell ref="H3:H11"/>
    <mergeCell ref="P3:P5"/>
    <mergeCell ref="Q3:Q11"/>
    <mergeCell ref="R3:R11"/>
    <mergeCell ref="T3:T5"/>
    <mergeCell ref="U3:U11"/>
    <mergeCell ref="P6:P8"/>
    <mergeCell ref="T6:T8"/>
    <mergeCell ref="P9:P11"/>
    <mergeCell ref="T9:T11"/>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457DC-A569-4DBC-B8EB-8E02CCB4D6F5}">
  <dimension ref="A1:W40"/>
  <sheetViews>
    <sheetView tabSelected="1" zoomScaleNormal="100" workbookViewId="0">
      <selection activeCell="E34" sqref="E34"/>
    </sheetView>
  </sheetViews>
  <sheetFormatPr defaultRowHeight="12.75" x14ac:dyDescent="0.2"/>
  <cols>
    <col min="1" max="1" width="5.7109375" style="181" customWidth="1"/>
    <col min="2" max="2" width="22.85546875" style="182" bestFit="1" customWidth="1"/>
    <col min="3" max="3" width="38" style="182" bestFit="1" customWidth="1"/>
    <col min="4" max="4" width="10.42578125" style="182" customWidth="1"/>
    <col min="5" max="5" width="9.7109375" style="181" bestFit="1" customWidth="1"/>
    <col min="6" max="6" width="11" style="182" customWidth="1"/>
    <col min="7" max="7" width="10.5703125" style="182" customWidth="1"/>
    <col min="8" max="8" width="17.5703125" style="182" customWidth="1"/>
    <col min="9" max="9" width="10.42578125" customWidth="1"/>
    <col min="10" max="10" width="11.28515625" customWidth="1"/>
    <col min="13" max="14" width="10" customWidth="1"/>
    <col min="15" max="15" width="11" customWidth="1"/>
    <col min="16" max="17" width="11.28515625" customWidth="1"/>
    <col min="18" max="18" width="12.28515625" customWidth="1"/>
    <col min="19" max="19" width="13.85546875" style="171" customWidth="1"/>
    <col min="20" max="21" width="13" customWidth="1"/>
    <col min="22" max="22" width="14.7109375" customWidth="1"/>
  </cols>
  <sheetData>
    <row r="1" spans="1:22" ht="51" customHeight="1" x14ac:dyDescent="0.2">
      <c r="A1" s="275" t="s">
        <v>162</v>
      </c>
      <c r="H1" s="288"/>
      <c r="P1" s="509" t="s">
        <v>90</v>
      </c>
      <c r="Q1" s="510"/>
      <c r="R1" s="511"/>
      <c r="S1" s="512" t="s">
        <v>94</v>
      </c>
      <c r="T1" s="513"/>
      <c r="U1" s="513"/>
      <c r="V1" s="514"/>
    </row>
    <row r="2" spans="1:22" ht="51" x14ac:dyDescent="0.2">
      <c r="A2" s="74" t="s">
        <v>0</v>
      </c>
      <c r="B2" s="75" t="s">
        <v>1</v>
      </c>
      <c r="C2" s="74" t="s">
        <v>2</v>
      </c>
      <c r="D2" s="25" t="s">
        <v>89</v>
      </c>
      <c r="E2" s="74" t="s">
        <v>81</v>
      </c>
      <c r="F2" s="74" t="s">
        <v>4</v>
      </c>
      <c r="G2" s="74" t="s">
        <v>5</v>
      </c>
      <c r="H2" s="1" t="s">
        <v>85</v>
      </c>
      <c r="I2" s="517" t="s">
        <v>197</v>
      </c>
      <c r="J2" s="517" t="s">
        <v>198</v>
      </c>
      <c r="K2" s="517" t="s">
        <v>199</v>
      </c>
      <c r="L2" s="517" t="s">
        <v>200</v>
      </c>
      <c r="M2" s="517" t="s">
        <v>201</v>
      </c>
      <c r="N2" s="517" t="s">
        <v>202</v>
      </c>
      <c r="O2" s="524" t="s">
        <v>203</v>
      </c>
      <c r="P2" s="303" t="s">
        <v>71</v>
      </c>
      <c r="Q2" s="26" t="s">
        <v>72</v>
      </c>
      <c r="R2" s="304" t="s">
        <v>80</v>
      </c>
      <c r="S2" s="303" t="s">
        <v>107</v>
      </c>
      <c r="T2" s="146" t="s">
        <v>91</v>
      </c>
      <c r="U2" s="146" t="s">
        <v>92</v>
      </c>
      <c r="V2" s="312" t="s">
        <v>93</v>
      </c>
    </row>
    <row r="3" spans="1:22" x14ac:dyDescent="0.2">
      <c r="A3" s="183" t="s">
        <v>6</v>
      </c>
      <c r="B3" s="184" t="s">
        <v>9</v>
      </c>
      <c r="C3" s="184" t="s">
        <v>46</v>
      </c>
      <c r="D3" s="185">
        <v>8</v>
      </c>
      <c r="E3" s="186">
        <v>10080</v>
      </c>
      <c r="F3" s="187">
        <v>500</v>
      </c>
      <c r="G3" s="188">
        <v>3</v>
      </c>
      <c r="H3" s="424" t="s">
        <v>82</v>
      </c>
      <c r="I3" s="230">
        <v>4.6244753926567705</v>
      </c>
      <c r="J3" s="339">
        <v>5.1115634051067866</v>
      </c>
      <c r="K3" s="230">
        <v>4.7434511234217638</v>
      </c>
      <c r="L3" s="230">
        <v>3.520737037277641</v>
      </c>
      <c r="M3" s="230">
        <v>2.858506070412743</v>
      </c>
      <c r="N3" s="230">
        <v>3.788465338680167</v>
      </c>
      <c r="O3" s="290">
        <v>4.526503747572729</v>
      </c>
      <c r="P3" s="345">
        <v>4.1676717307326578</v>
      </c>
      <c r="Q3" s="482">
        <f>AVERAGE(I3:O5)</f>
        <v>4.0368927422543903</v>
      </c>
      <c r="R3" s="515">
        <f>AVERAGE(I3:O11)</f>
        <v>4.4420766180351539</v>
      </c>
      <c r="S3" s="502">
        <v>5</v>
      </c>
      <c r="T3" s="124">
        <f>(1/7)*100</f>
        <v>14.285714285714285</v>
      </c>
      <c r="U3" s="432">
        <f>(1/21)*100</f>
        <v>4.7619047619047619</v>
      </c>
      <c r="V3" s="497">
        <f>(11/63)*100</f>
        <v>17.460317460317459</v>
      </c>
    </row>
    <row r="4" spans="1:22" x14ac:dyDescent="0.2">
      <c r="A4" s="189" t="s">
        <v>6</v>
      </c>
      <c r="B4" s="190" t="s">
        <v>9</v>
      </c>
      <c r="C4" s="190" t="s">
        <v>46</v>
      </c>
      <c r="D4" s="191">
        <v>8</v>
      </c>
      <c r="E4" s="192">
        <v>20080</v>
      </c>
      <c r="F4" s="181">
        <v>926</v>
      </c>
      <c r="G4" s="193">
        <v>6</v>
      </c>
      <c r="H4" s="425"/>
      <c r="I4" s="230">
        <v>4.4330526350034836</v>
      </c>
      <c r="J4" s="230">
        <v>4.6280441058705017</v>
      </c>
      <c r="K4" s="230">
        <v>3.5524512620399218</v>
      </c>
      <c r="L4" s="230">
        <v>4.4319083977073683</v>
      </c>
      <c r="M4" s="230">
        <v>3.9292918589872614</v>
      </c>
      <c r="N4" s="230">
        <v>3.632693151820233</v>
      </c>
      <c r="O4" s="290">
        <v>4.5622093914634654</v>
      </c>
      <c r="P4" s="345">
        <v>4.1670929718417486</v>
      </c>
      <c r="Q4" s="483"/>
      <c r="R4" s="515"/>
      <c r="S4" s="503"/>
      <c r="T4" s="124">
        <f>(0/7)*100</f>
        <v>0</v>
      </c>
      <c r="U4" s="433"/>
      <c r="V4" s="498"/>
    </row>
    <row r="5" spans="1:22" x14ac:dyDescent="0.2">
      <c r="A5" s="194" t="s">
        <v>6</v>
      </c>
      <c r="B5" s="195" t="s">
        <v>9</v>
      </c>
      <c r="C5" s="195" t="s">
        <v>46</v>
      </c>
      <c r="D5" s="196">
        <v>8</v>
      </c>
      <c r="E5" s="197">
        <v>30080</v>
      </c>
      <c r="F5" s="198">
        <v>3704</v>
      </c>
      <c r="G5" s="199">
        <v>13</v>
      </c>
      <c r="H5" s="425"/>
      <c r="I5" s="230">
        <v>4.3426599107634223</v>
      </c>
      <c r="J5" s="230">
        <v>4.2677185036335663</v>
      </c>
      <c r="K5" s="230">
        <v>2.4739652568469235</v>
      </c>
      <c r="L5" s="230">
        <v>3.642373068291008</v>
      </c>
      <c r="M5" s="230">
        <v>3.2136030565792235</v>
      </c>
      <c r="N5" s="230">
        <v>3.8658029391170929</v>
      </c>
      <c r="O5" s="290">
        <v>4.6252719340901347</v>
      </c>
      <c r="P5" s="346">
        <v>3.7759135241887671</v>
      </c>
      <c r="Q5" s="484"/>
      <c r="R5" s="515"/>
      <c r="S5" s="503"/>
      <c r="T5" s="124">
        <f>(0/7)*100</f>
        <v>0</v>
      </c>
      <c r="U5" s="434"/>
      <c r="V5" s="498"/>
    </row>
    <row r="6" spans="1:22" x14ac:dyDescent="0.2">
      <c r="A6" s="183" t="s">
        <v>6</v>
      </c>
      <c r="B6" s="184" t="s">
        <v>12</v>
      </c>
      <c r="C6" s="184" t="s">
        <v>47</v>
      </c>
      <c r="D6" s="185">
        <v>24</v>
      </c>
      <c r="E6" s="186">
        <v>10240</v>
      </c>
      <c r="F6" s="187">
        <v>500</v>
      </c>
      <c r="G6" s="200">
        <v>4</v>
      </c>
      <c r="H6" s="425"/>
      <c r="I6" s="230">
        <v>3.9904511990722025</v>
      </c>
      <c r="J6" s="230">
        <v>4.9474157574869384</v>
      </c>
      <c r="K6" s="230">
        <v>4.7640759632046921</v>
      </c>
      <c r="L6" s="230">
        <v>4.0123654568334466</v>
      </c>
      <c r="M6" s="339">
        <v>5.1141836809166978</v>
      </c>
      <c r="N6" s="230">
        <v>4.6689679620916316</v>
      </c>
      <c r="O6" s="290">
        <v>4.3489642367464407</v>
      </c>
      <c r="P6" s="345">
        <v>4.5494891794788641</v>
      </c>
      <c r="Q6" s="482">
        <f t="shared" ref="Q6" si="0">AVERAGE(I6:O8)</f>
        <v>4.4855897426579183</v>
      </c>
      <c r="R6" s="515"/>
      <c r="S6" s="503"/>
      <c r="T6" s="124">
        <f>(1/7)*100</f>
        <v>14.285714285714285</v>
      </c>
      <c r="U6" s="432">
        <f>(1/21)*100</f>
        <v>4.7619047619047619</v>
      </c>
      <c r="V6" s="498"/>
    </row>
    <row r="7" spans="1:22" x14ac:dyDescent="0.2">
      <c r="A7" s="189" t="s">
        <v>6</v>
      </c>
      <c r="B7" s="190" t="s">
        <v>12</v>
      </c>
      <c r="C7" s="190" t="s">
        <v>47</v>
      </c>
      <c r="D7" s="191">
        <v>24</v>
      </c>
      <c r="E7" s="192">
        <v>20240</v>
      </c>
      <c r="F7" s="181">
        <v>926</v>
      </c>
      <c r="G7" s="201">
        <v>7</v>
      </c>
      <c r="H7" s="425"/>
      <c r="I7" s="230">
        <v>4.6566586301478665</v>
      </c>
      <c r="J7" s="230">
        <v>4.996661795905684</v>
      </c>
      <c r="K7" s="230">
        <v>4.81422958125889</v>
      </c>
      <c r="L7" s="230">
        <v>4.2232006345010857</v>
      </c>
      <c r="M7" s="230">
        <v>4.9689963972462019</v>
      </c>
      <c r="N7" s="230">
        <v>4.7587951951509497</v>
      </c>
      <c r="O7" s="290">
        <v>4.6277033886819501</v>
      </c>
      <c r="P7" s="345">
        <v>4.7208922318418036</v>
      </c>
      <c r="Q7" s="483"/>
      <c r="R7" s="515"/>
      <c r="S7" s="503"/>
      <c r="T7" s="124">
        <f t="shared" ref="T7:T31" si="1">(0/7)*100</f>
        <v>0</v>
      </c>
      <c r="U7" s="433"/>
      <c r="V7" s="498"/>
    </row>
    <row r="8" spans="1:22" x14ac:dyDescent="0.2">
      <c r="A8" s="194" t="s">
        <v>6</v>
      </c>
      <c r="B8" s="195" t="s">
        <v>12</v>
      </c>
      <c r="C8" s="195" t="s">
        <v>47</v>
      </c>
      <c r="D8" s="196">
        <v>24</v>
      </c>
      <c r="E8" s="197">
        <v>30240</v>
      </c>
      <c r="F8" s="198">
        <v>3704</v>
      </c>
      <c r="G8" s="199">
        <v>15</v>
      </c>
      <c r="H8" s="425"/>
      <c r="I8" s="230">
        <v>4.6437869312698741</v>
      </c>
      <c r="J8" s="230">
        <v>4.8920120410115855</v>
      </c>
      <c r="K8" s="230">
        <v>4.4302541142012393</v>
      </c>
      <c r="L8" s="230">
        <v>3.6531062024153371</v>
      </c>
      <c r="M8" s="230">
        <v>3.0410236931592882</v>
      </c>
      <c r="N8" s="230">
        <v>4.0081505694501249</v>
      </c>
      <c r="O8" s="290">
        <v>4.6363811650641837</v>
      </c>
      <c r="P8" s="345">
        <v>4.1863878166530908</v>
      </c>
      <c r="Q8" s="484"/>
      <c r="R8" s="515"/>
      <c r="S8" s="503"/>
      <c r="T8" s="124">
        <f t="shared" si="1"/>
        <v>0</v>
      </c>
      <c r="U8" s="434"/>
      <c r="V8" s="498"/>
    </row>
    <row r="9" spans="1:22" x14ac:dyDescent="0.2">
      <c r="A9" s="183" t="s">
        <v>6</v>
      </c>
      <c r="B9" s="202" t="s">
        <v>13</v>
      </c>
      <c r="C9" s="184" t="s">
        <v>48</v>
      </c>
      <c r="D9" s="185">
        <v>40</v>
      </c>
      <c r="E9" s="186">
        <v>10400</v>
      </c>
      <c r="F9" s="187">
        <v>500</v>
      </c>
      <c r="G9" s="200">
        <v>3</v>
      </c>
      <c r="H9" s="425"/>
      <c r="I9" s="339">
        <v>5.2476669383378614</v>
      </c>
      <c r="J9" s="339">
        <v>5.2847694002219772</v>
      </c>
      <c r="K9" s="339">
        <v>5.7507066408585512</v>
      </c>
      <c r="L9" s="230">
        <v>3.9312820866384066</v>
      </c>
      <c r="M9" s="339">
        <v>5.5266296129324761</v>
      </c>
      <c r="N9" s="230">
        <v>4.7419016385893507</v>
      </c>
      <c r="O9" s="290">
        <v>4.77830729116853</v>
      </c>
      <c r="P9" s="347">
        <v>5.0373233726781645</v>
      </c>
      <c r="Q9" s="482">
        <f t="shared" ref="Q9" si="2">AVERAGE(I9:O11)</f>
        <v>4.8037473691931538</v>
      </c>
      <c r="R9" s="515"/>
      <c r="S9" s="503"/>
      <c r="T9" s="124">
        <f>(4/7)*100</f>
        <v>57.142857142857139</v>
      </c>
      <c r="U9" s="432">
        <f>(9/21)*100</f>
        <v>42.857142857142854</v>
      </c>
      <c r="V9" s="498"/>
    </row>
    <row r="10" spans="1:22" x14ac:dyDescent="0.2">
      <c r="A10" s="189" t="s">
        <v>6</v>
      </c>
      <c r="B10" s="203" t="s">
        <v>13</v>
      </c>
      <c r="C10" s="190" t="s">
        <v>48</v>
      </c>
      <c r="D10" s="191">
        <v>40</v>
      </c>
      <c r="E10" s="192">
        <v>20400</v>
      </c>
      <c r="F10" s="181">
        <v>926</v>
      </c>
      <c r="G10" s="201">
        <v>7</v>
      </c>
      <c r="H10" s="425"/>
      <c r="I10" s="230">
        <v>4.5839114760529132</v>
      </c>
      <c r="J10" s="339">
        <v>5.4962864374074547</v>
      </c>
      <c r="K10" s="230">
        <v>4.7317144631045727</v>
      </c>
      <c r="L10" s="230">
        <v>4.1276779870453657</v>
      </c>
      <c r="M10" s="339">
        <v>5.1646144494691093</v>
      </c>
      <c r="N10" s="230">
        <v>4.7675268421724777</v>
      </c>
      <c r="O10" s="290">
        <v>4.9626052389310047</v>
      </c>
      <c r="P10" s="345">
        <v>4.833476699168985</v>
      </c>
      <c r="Q10" s="483"/>
      <c r="R10" s="515"/>
      <c r="S10" s="503"/>
      <c r="T10" s="124">
        <f>(2/7)*100</f>
        <v>28.571428571428569</v>
      </c>
      <c r="U10" s="433"/>
      <c r="V10" s="498"/>
    </row>
    <row r="11" spans="1:22" x14ac:dyDescent="0.2">
      <c r="A11" s="194" t="s">
        <v>6</v>
      </c>
      <c r="B11" s="204" t="s">
        <v>13</v>
      </c>
      <c r="C11" s="195" t="s">
        <v>48</v>
      </c>
      <c r="D11" s="196">
        <v>40</v>
      </c>
      <c r="E11" s="197">
        <v>30400</v>
      </c>
      <c r="F11" s="198">
        <v>3704</v>
      </c>
      <c r="G11" s="199">
        <v>13</v>
      </c>
      <c r="H11" s="426"/>
      <c r="I11" s="339">
        <v>5.2712613823714625</v>
      </c>
      <c r="J11" s="339">
        <v>5.3096707346944703</v>
      </c>
      <c r="K11" s="339">
        <v>5.3290538937120226</v>
      </c>
      <c r="L11" s="230">
        <v>4.0009232067764158</v>
      </c>
      <c r="M11" s="230">
        <v>2.4390393889876836</v>
      </c>
      <c r="N11" s="230">
        <v>4.6463270609672449</v>
      </c>
      <c r="O11" s="290">
        <v>4.7868185826168848</v>
      </c>
      <c r="P11" s="345">
        <v>4.5404420357323128</v>
      </c>
      <c r="Q11" s="484"/>
      <c r="R11" s="515"/>
      <c r="S11" s="508"/>
      <c r="T11" s="124">
        <f>(3/7)*100</f>
        <v>42.857142857142854</v>
      </c>
      <c r="U11" s="434"/>
      <c r="V11" s="499"/>
    </row>
    <row r="12" spans="1:22" x14ac:dyDescent="0.2">
      <c r="A12" s="183" t="s">
        <v>6</v>
      </c>
      <c r="B12" s="205" t="s">
        <v>50</v>
      </c>
      <c r="C12" s="205" t="s">
        <v>51</v>
      </c>
      <c r="D12" s="185">
        <v>53</v>
      </c>
      <c r="E12" s="186">
        <v>10530</v>
      </c>
      <c r="F12" s="187">
        <v>500</v>
      </c>
      <c r="G12" s="200">
        <v>6.5</v>
      </c>
      <c r="H12" s="424" t="s">
        <v>83</v>
      </c>
      <c r="I12" s="230">
        <v>4.7064760964550372</v>
      </c>
      <c r="J12" s="230">
        <v>4.905777494116669</v>
      </c>
      <c r="K12" s="339">
        <v>5.5048862399832696</v>
      </c>
      <c r="L12" s="230">
        <v>4.2077580135687889</v>
      </c>
      <c r="M12" s="230">
        <v>4.4489267673820798</v>
      </c>
      <c r="N12" s="230">
        <v>4.9623452733610183</v>
      </c>
      <c r="O12" s="290">
        <v>4.3237941796864456</v>
      </c>
      <c r="P12" s="345">
        <v>4.7228520092219011</v>
      </c>
      <c r="Q12" s="482">
        <f t="shared" ref="Q12" si="3">AVERAGE(I12:O14)</f>
        <v>4.7735865770940524</v>
      </c>
      <c r="R12" s="516">
        <f>AVERAGE(I12:O17)</f>
        <v>4.7807481631024853</v>
      </c>
      <c r="S12" s="502">
        <v>5</v>
      </c>
      <c r="T12" s="124">
        <f>(1/7)*100</f>
        <v>14.285714285714285</v>
      </c>
      <c r="U12" s="432">
        <f>(7/21)*100</f>
        <v>33.333333333333329</v>
      </c>
      <c r="V12" s="497">
        <f>(18/42)*100</f>
        <v>42.857142857142854</v>
      </c>
    </row>
    <row r="13" spans="1:22" x14ac:dyDescent="0.2">
      <c r="A13" s="189" t="s">
        <v>6</v>
      </c>
      <c r="B13" s="206" t="s">
        <v>50</v>
      </c>
      <c r="C13" s="206" t="s">
        <v>51</v>
      </c>
      <c r="D13" s="191">
        <v>53</v>
      </c>
      <c r="E13" s="192">
        <v>20530</v>
      </c>
      <c r="F13" s="181">
        <v>926</v>
      </c>
      <c r="G13" s="201">
        <v>7</v>
      </c>
      <c r="H13" s="425"/>
      <c r="I13" s="230">
        <v>4.7473692224976576</v>
      </c>
      <c r="J13" s="339">
        <v>5.2407992335285716</v>
      </c>
      <c r="K13" s="339">
        <v>5.0051678212594366</v>
      </c>
      <c r="L13" s="230">
        <v>4.2338987913884285</v>
      </c>
      <c r="M13" s="230">
        <v>4.7066413981671475</v>
      </c>
      <c r="N13" s="230">
        <v>4.7958030348175926</v>
      </c>
      <c r="O13" s="290">
        <v>3.714098131955895</v>
      </c>
      <c r="P13" s="345">
        <v>4.6348253762306753</v>
      </c>
      <c r="Q13" s="483"/>
      <c r="R13" s="516"/>
      <c r="S13" s="503"/>
      <c r="T13" s="124">
        <f>(2/7)*100</f>
        <v>28.571428571428569</v>
      </c>
      <c r="U13" s="433"/>
      <c r="V13" s="498"/>
    </row>
    <row r="14" spans="1:22" x14ac:dyDescent="0.2">
      <c r="A14" s="194" t="s">
        <v>6</v>
      </c>
      <c r="B14" s="207" t="s">
        <v>50</v>
      </c>
      <c r="C14" s="207" t="s">
        <v>51</v>
      </c>
      <c r="D14" s="196">
        <v>53</v>
      </c>
      <c r="E14" s="197">
        <v>30530</v>
      </c>
      <c r="F14" s="198">
        <v>3704</v>
      </c>
      <c r="G14" s="199">
        <v>14</v>
      </c>
      <c r="H14" s="425"/>
      <c r="I14" s="339">
        <v>5.3191116733943495</v>
      </c>
      <c r="J14" s="339">
        <v>5.1607979850068801</v>
      </c>
      <c r="K14" s="339">
        <v>5.4571436952979111</v>
      </c>
      <c r="L14" s="339">
        <v>5.1782304518192603</v>
      </c>
      <c r="M14" s="230">
        <v>4.3968576187372266</v>
      </c>
      <c r="N14" s="230">
        <v>4.9587064710669333</v>
      </c>
      <c r="O14" s="290">
        <v>4.2707285254844969</v>
      </c>
      <c r="P14" s="345">
        <v>4.9630823458295792</v>
      </c>
      <c r="Q14" s="484"/>
      <c r="R14" s="516"/>
      <c r="S14" s="503"/>
      <c r="T14" s="124">
        <f>(4/7)*100</f>
        <v>57.142857142857139</v>
      </c>
      <c r="U14" s="434"/>
      <c r="V14" s="498"/>
    </row>
    <row r="15" spans="1:22" x14ac:dyDescent="0.2">
      <c r="A15" s="183" t="s">
        <v>6</v>
      </c>
      <c r="B15" s="205" t="s">
        <v>49</v>
      </c>
      <c r="C15" s="205" t="s">
        <v>52</v>
      </c>
      <c r="D15" s="185">
        <v>56</v>
      </c>
      <c r="E15" s="186">
        <v>10560</v>
      </c>
      <c r="F15" s="187">
        <v>500</v>
      </c>
      <c r="G15" s="200">
        <v>3.5</v>
      </c>
      <c r="H15" s="425"/>
      <c r="I15" s="230">
        <v>4.9555811437338928</v>
      </c>
      <c r="J15" s="339">
        <v>5.0626834208409859</v>
      </c>
      <c r="K15" s="339">
        <v>5.4434615348409423</v>
      </c>
      <c r="L15" s="339">
        <v>5.3517368299129462</v>
      </c>
      <c r="M15" s="230">
        <v>4.3043308821986743</v>
      </c>
      <c r="N15" s="230">
        <v>3.6684045471645175</v>
      </c>
      <c r="O15" s="290">
        <v>3.3956232491704608</v>
      </c>
      <c r="P15" s="345">
        <v>4.5974030868374882</v>
      </c>
      <c r="Q15" s="482">
        <f t="shared" ref="Q15" si="4">AVERAGE(I15:O17)</f>
        <v>4.7879097491109182</v>
      </c>
      <c r="R15" s="516"/>
      <c r="S15" s="503"/>
      <c r="T15" s="124">
        <f>(3/7)*100</f>
        <v>42.857142857142854</v>
      </c>
      <c r="U15" s="432">
        <f>(11/21)*100</f>
        <v>52.380952380952387</v>
      </c>
      <c r="V15" s="498"/>
    </row>
    <row r="16" spans="1:22" x14ac:dyDescent="0.2">
      <c r="A16" s="189" t="s">
        <v>6</v>
      </c>
      <c r="B16" s="206" t="s">
        <v>49</v>
      </c>
      <c r="C16" s="206" t="s">
        <v>52</v>
      </c>
      <c r="D16" s="191">
        <v>56</v>
      </c>
      <c r="E16" s="181">
        <v>20560</v>
      </c>
      <c r="F16" s="181">
        <v>926</v>
      </c>
      <c r="G16" s="201">
        <v>5</v>
      </c>
      <c r="H16" s="425"/>
      <c r="I16" s="339">
        <v>5.0007058143812113</v>
      </c>
      <c r="J16" s="339">
        <v>5.4200713414018367</v>
      </c>
      <c r="K16" s="339">
        <v>5.390869273702056</v>
      </c>
      <c r="L16" s="339">
        <v>5.7182863235455352</v>
      </c>
      <c r="M16" s="230">
        <v>4.6010876434981993</v>
      </c>
      <c r="N16" s="230">
        <v>3.7719963847219962</v>
      </c>
      <c r="O16" s="290">
        <v>4.7459404830753247</v>
      </c>
      <c r="P16" s="345">
        <v>4.9498510377608795</v>
      </c>
      <c r="Q16" s="483"/>
      <c r="R16" s="516"/>
      <c r="S16" s="503"/>
      <c r="T16" s="124">
        <f>(4/7)*100</f>
        <v>57.142857142857139</v>
      </c>
      <c r="U16" s="433"/>
      <c r="V16" s="498"/>
    </row>
    <row r="17" spans="1:22" x14ac:dyDescent="0.2">
      <c r="A17" s="194" t="s">
        <v>6</v>
      </c>
      <c r="B17" s="207" t="s">
        <v>49</v>
      </c>
      <c r="C17" s="207" t="s">
        <v>52</v>
      </c>
      <c r="D17" s="196">
        <v>56</v>
      </c>
      <c r="E17" s="198">
        <v>30560</v>
      </c>
      <c r="F17" s="198">
        <v>3704</v>
      </c>
      <c r="G17" s="199">
        <v>16</v>
      </c>
      <c r="H17" s="426"/>
      <c r="I17" s="339">
        <v>5.4405917688378738</v>
      </c>
      <c r="J17" s="339">
        <v>5.4023873735359711</v>
      </c>
      <c r="K17" s="339">
        <v>5.2332093996267632</v>
      </c>
      <c r="L17" s="339">
        <v>5.8650498104111835</v>
      </c>
      <c r="M17" s="230">
        <v>3.8200103768952731</v>
      </c>
      <c r="N17" s="230">
        <v>3.7226002167988859</v>
      </c>
      <c r="O17" s="290">
        <v>4.2314769130347658</v>
      </c>
      <c r="P17" s="345">
        <v>4.8164751227343876</v>
      </c>
      <c r="Q17" s="484"/>
      <c r="R17" s="516"/>
      <c r="S17" s="508"/>
      <c r="T17" s="124">
        <f>(4/7)*100</f>
        <v>57.142857142857139</v>
      </c>
      <c r="U17" s="434"/>
      <c r="V17" s="499"/>
    </row>
    <row r="18" spans="1:22" x14ac:dyDescent="0.2">
      <c r="A18" s="183" t="s">
        <v>6</v>
      </c>
      <c r="B18" s="205" t="s">
        <v>16</v>
      </c>
      <c r="C18" s="205" t="s">
        <v>53</v>
      </c>
      <c r="D18" s="185">
        <v>64</v>
      </c>
      <c r="E18" s="187">
        <v>10640</v>
      </c>
      <c r="F18" s="187">
        <v>500</v>
      </c>
      <c r="G18" s="200">
        <v>6</v>
      </c>
      <c r="H18" s="410" t="s">
        <v>88</v>
      </c>
      <c r="I18" s="230">
        <v>4.9497754224842332</v>
      </c>
      <c r="J18" s="339">
        <v>5.6814578351421829</v>
      </c>
      <c r="K18" s="230">
        <v>4.8539771608318611</v>
      </c>
      <c r="L18" s="339">
        <v>5.2450524730325121</v>
      </c>
      <c r="M18" s="339">
        <v>5.8950719035560146</v>
      </c>
      <c r="N18" s="230">
        <v>4.2348784691510311</v>
      </c>
      <c r="O18" s="344">
        <v>5.9143945077975077</v>
      </c>
      <c r="P18" s="347">
        <v>5.2535153959993348</v>
      </c>
      <c r="Q18" s="485">
        <f t="shared" ref="Q18" si="5">AVERAGE(I18:O20)</f>
        <v>5.2667885802176952</v>
      </c>
      <c r="R18" s="522">
        <f>AVERAGE(I18:O20)</f>
        <v>5.2667885802176952</v>
      </c>
      <c r="S18" s="502">
        <v>5</v>
      </c>
      <c r="T18" s="124">
        <f>(4/7)*100</f>
        <v>57.142857142857139</v>
      </c>
      <c r="U18" s="432">
        <f>(15/21)*100</f>
        <v>71.428571428571431</v>
      </c>
      <c r="V18" s="494">
        <f>(15/21)*100</f>
        <v>71.428571428571431</v>
      </c>
    </row>
    <row r="19" spans="1:22" x14ac:dyDescent="0.2">
      <c r="A19" s="189" t="s">
        <v>6</v>
      </c>
      <c r="B19" s="206" t="s">
        <v>16</v>
      </c>
      <c r="C19" s="206" t="s">
        <v>53</v>
      </c>
      <c r="D19" s="191">
        <v>64</v>
      </c>
      <c r="E19" s="181">
        <v>20640</v>
      </c>
      <c r="F19" s="181">
        <v>926</v>
      </c>
      <c r="G19" s="201">
        <v>10</v>
      </c>
      <c r="H19" s="411"/>
      <c r="I19" s="339">
        <v>5.2192432594300966</v>
      </c>
      <c r="J19" s="339">
        <v>5.4529547554360898</v>
      </c>
      <c r="K19" s="339">
        <v>5.0318475598636683</v>
      </c>
      <c r="L19" s="339">
        <v>5.2246978526181973</v>
      </c>
      <c r="M19" s="339">
        <v>6.0114513530761924</v>
      </c>
      <c r="N19" s="230">
        <v>4.2524063039746629</v>
      </c>
      <c r="O19" s="344">
        <v>5.8925543249012575</v>
      </c>
      <c r="P19" s="347">
        <v>5.2978793441857377</v>
      </c>
      <c r="Q19" s="486"/>
      <c r="R19" s="523"/>
      <c r="S19" s="503"/>
      <c r="T19" s="124">
        <f>(6/7)*100</f>
        <v>85.714285714285708</v>
      </c>
      <c r="U19" s="433"/>
      <c r="V19" s="494"/>
    </row>
    <row r="20" spans="1:22" x14ac:dyDescent="0.2">
      <c r="A20" s="194" t="s">
        <v>6</v>
      </c>
      <c r="B20" s="207" t="s">
        <v>16</v>
      </c>
      <c r="C20" s="207" t="s">
        <v>53</v>
      </c>
      <c r="D20" s="196">
        <v>64</v>
      </c>
      <c r="E20" s="198">
        <v>30640</v>
      </c>
      <c r="F20" s="198">
        <v>3704</v>
      </c>
      <c r="G20" s="199">
        <v>19</v>
      </c>
      <c r="H20" s="411"/>
      <c r="I20" s="339">
        <v>5.4698089662985172</v>
      </c>
      <c r="J20" s="339">
        <v>5.9169427903020635</v>
      </c>
      <c r="K20" s="339">
        <v>5.476976802417088</v>
      </c>
      <c r="L20" s="339">
        <v>5.3658534136523999</v>
      </c>
      <c r="M20" s="230">
        <v>4.1982806229615184</v>
      </c>
      <c r="N20" s="230">
        <v>4.7615430328551689</v>
      </c>
      <c r="O20" s="344">
        <v>5.5533913747893413</v>
      </c>
      <c r="P20" s="347">
        <v>5.2489710004680132</v>
      </c>
      <c r="Q20" s="487"/>
      <c r="R20" s="523"/>
      <c r="S20" s="503"/>
      <c r="T20" s="124">
        <f>(5/7)*100</f>
        <v>71.428571428571431</v>
      </c>
      <c r="U20" s="434"/>
      <c r="V20" s="494"/>
    </row>
    <row r="21" spans="1:22" x14ac:dyDescent="0.2">
      <c r="A21" s="183" t="s">
        <v>19</v>
      </c>
      <c r="B21" s="205" t="s">
        <v>20</v>
      </c>
      <c r="C21" s="205" t="s">
        <v>54</v>
      </c>
      <c r="D21" s="185">
        <v>72</v>
      </c>
      <c r="E21" s="187">
        <v>10720</v>
      </c>
      <c r="F21" s="187">
        <v>500</v>
      </c>
      <c r="G21" s="200">
        <v>3</v>
      </c>
      <c r="H21" s="410" t="s">
        <v>84</v>
      </c>
      <c r="I21" s="339">
        <v>5.9734621925476361</v>
      </c>
      <c r="J21" s="339">
        <v>6.5735472866692275</v>
      </c>
      <c r="K21" s="339">
        <v>5.696091058744158</v>
      </c>
      <c r="L21" s="339">
        <v>6.4768018786001837</v>
      </c>
      <c r="M21" s="339">
        <v>5.0557956052651916</v>
      </c>
      <c r="N21" s="339">
        <v>5.4253447852861925</v>
      </c>
      <c r="O21" s="344">
        <v>5.8335308082035002</v>
      </c>
      <c r="P21" s="347">
        <v>5.8620819450451558</v>
      </c>
      <c r="Q21" s="485">
        <f t="shared" ref="Q21" si="6">AVERAGE(I21:O23)</f>
        <v>5.9548805663048947</v>
      </c>
      <c r="R21" s="495">
        <f>AVERAGE(I21:O29)</f>
        <v>6.0155678128715557</v>
      </c>
      <c r="S21" s="496">
        <v>5</v>
      </c>
      <c r="T21" s="124">
        <f t="shared" ref="T21:T24" si="7">(7/7)*100</f>
        <v>100</v>
      </c>
      <c r="U21" s="432">
        <f>(21/21)*100</f>
        <v>100</v>
      </c>
      <c r="V21" s="494">
        <f>(61/63)*100</f>
        <v>96.825396825396822</v>
      </c>
    </row>
    <row r="22" spans="1:22" x14ac:dyDescent="0.2">
      <c r="A22" s="189" t="s">
        <v>19</v>
      </c>
      <c r="B22" s="206" t="s">
        <v>20</v>
      </c>
      <c r="C22" s="206" t="s">
        <v>54</v>
      </c>
      <c r="D22" s="191">
        <v>72</v>
      </c>
      <c r="E22" s="181">
        <v>20720</v>
      </c>
      <c r="F22" s="181">
        <v>926</v>
      </c>
      <c r="G22" s="201">
        <v>6</v>
      </c>
      <c r="H22" s="411"/>
      <c r="I22" s="339">
        <v>5.177098714934627</v>
      </c>
      <c r="J22" s="339">
        <v>6.7645060621446884</v>
      </c>
      <c r="K22" s="339">
        <v>5.8957715530951775</v>
      </c>
      <c r="L22" s="339">
        <v>6.1764304246237494</v>
      </c>
      <c r="M22" s="339">
        <v>5.8976079603699265</v>
      </c>
      <c r="N22" s="339">
        <v>6.2453074412771441</v>
      </c>
      <c r="O22" s="344">
        <v>5.6425351335374554</v>
      </c>
      <c r="P22" s="347">
        <v>5.9713224699975385</v>
      </c>
      <c r="Q22" s="486"/>
      <c r="R22" s="495"/>
      <c r="S22" s="496"/>
      <c r="T22" s="124">
        <f t="shared" si="7"/>
        <v>100</v>
      </c>
      <c r="U22" s="433"/>
      <c r="V22" s="494"/>
    </row>
    <row r="23" spans="1:22" x14ac:dyDescent="0.2">
      <c r="A23" s="194" t="s">
        <v>19</v>
      </c>
      <c r="B23" s="207" t="s">
        <v>20</v>
      </c>
      <c r="C23" s="207" t="s">
        <v>54</v>
      </c>
      <c r="D23" s="196">
        <v>72</v>
      </c>
      <c r="E23" s="198">
        <v>30720</v>
      </c>
      <c r="F23" s="198">
        <v>3704</v>
      </c>
      <c r="G23" s="199">
        <v>14</v>
      </c>
      <c r="H23" s="411"/>
      <c r="I23" s="339">
        <v>7.5721717274440605</v>
      </c>
      <c r="J23" s="339">
        <v>6.3864680259924134</v>
      </c>
      <c r="K23" s="339">
        <v>5.4586421035125783</v>
      </c>
      <c r="L23" s="339">
        <v>5.9849964278309571</v>
      </c>
      <c r="M23" s="339">
        <v>6.1940222212420073</v>
      </c>
      <c r="N23" s="339">
        <v>5.2128857932664454</v>
      </c>
      <c r="O23" s="344">
        <v>5.4094746878154414</v>
      </c>
      <c r="P23" s="525">
        <v>6.0312372838719863</v>
      </c>
      <c r="Q23" s="487"/>
      <c r="R23" s="495"/>
      <c r="S23" s="496"/>
      <c r="T23" s="124">
        <f t="shared" si="7"/>
        <v>100</v>
      </c>
      <c r="U23" s="434"/>
      <c r="V23" s="494"/>
    </row>
    <row r="24" spans="1:22" x14ac:dyDescent="0.2">
      <c r="A24" s="183" t="s">
        <v>19</v>
      </c>
      <c r="B24" s="208" t="s">
        <v>24</v>
      </c>
      <c r="C24" s="208" t="s">
        <v>25</v>
      </c>
      <c r="D24" s="185">
        <v>601</v>
      </c>
      <c r="E24" s="209">
        <v>16010</v>
      </c>
      <c r="F24" s="187">
        <v>500</v>
      </c>
      <c r="G24" s="200">
        <v>6</v>
      </c>
      <c r="H24" s="411"/>
      <c r="I24" s="339">
        <v>6.6162269862704708</v>
      </c>
      <c r="J24" s="339">
        <v>6.7027325686206662</v>
      </c>
      <c r="K24" s="339">
        <v>5.5383120483116306</v>
      </c>
      <c r="L24" s="339">
        <v>5.865828092155895</v>
      </c>
      <c r="M24" s="339">
        <v>6.137378922121445</v>
      </c>
      <c r="N24" s="339">
        <v>5.1228488813980606</v>
      </c>
      <c r="O24" s="344">
        <v>6.5195604877040259</v>
      </c>
      <c r="P24" s="525">
        <v>6.0718411409403137</v>
      </c>
      <c r="Q24" s="485">
        <f t="shared" ref="Q24" si="8">AVERAGE(I24:O26)</f>
        <v>5.9535730421371769</v>
      </c>
      <c r="R24" s="495"/>
      <c r="S24" s="496"/>
      <c r="T24" s="124">
        <f t="shared" si="7"/>
        <v>100</v>
      </c>
      <c r="U24" s="432">
        <f>(20/21)*100</f>
        <v>95.238095238095227</v>
      </c>
      <c r="V24" s="494"/>
    </row>
    <row r="25" spans="1:22" x14ac:dyDescent="0.2">
      <c r="A25" s="189" t="s">
        <v>19</v>
      </c>
      <c r="B25" s="182" t="s">
        <v>24</v>
      </c>
      <c r="C25" s="182" t="s">
        <v>25</v>
      </c>
      <c r="D25" s="191">
        <v>601</v>
      </c>
      <c r="E25" s="210">
        <v>26010</v>
      </c>
      <c r="F25" s="181">
        <v>926</v>
      </c>
      <c r="G25" s="201">
        <v>16</v>
      </c>
      <c r="H25" s="411"/>
      <c r="I25" s="339">
        <v>6.4407551224736537</v>
      </c>
      <c r="J25" s="339">
        <v>6.4881321896197415</v>
      </c>
      <c r="K25" s="339">
        <v>5.8859187718076287</v>
      </c>
      <c r="L25" s="339">
        <v>6.2936144350675196</v>
      </c>
      <c r="M25" s="339">
        <v>6.1339934894248547</v>
      </c>
      <c r="N25" s="339">
        <v>5.4067247277867105</v>
      </c>
      <c r="O25" s="344">
        <v>6.2889980302463391</v>
      </c>
      <c r="P25" s="525">
        <v>6.1340195380609206</v>
      </c>
      <c r="Q25" s="486"/>
      <c r="R25" s="495"/>
      <c r="S25" s="496"/>
      <c r="T25" s="124">
        <f>(7/7)*100</f>
        <v>100</v>
      </c>
      <c r="U25" s="433"/>
      <c r="V25" s="494"/>
    </row>
    <row r="26" spans="1:22" x14ac:dyDescent="0.2">
      <c r="A26" s="194" t="s">
        <v>19</v>
      </c>
      <c r="B26" s="211" t="s">
        <v>24</v>
      </c>
      <c r="C26" s="211" t="s">
        <v>25</v>
      </c>
      <c r="D26" s="196">
        <v>601</v>
      </c>
      <c r="E26" s="212">
        <v>36010</v>
      </c>
      <c r="F26" s="198">
        <v>3704</v>
      </c>
      <c r="G26" s="199">
        <v>27</v>
      </c>
      <c r="H26" s="411"/>
      <c r="I26" s="339">
        <v>6.4140708501625463</v>
      </c>
      <c r="J26" s="339">
        <v>6.047614775886573</v>
      </c>
      <c r="K26" s="339">
        <v>5.796349789279696</v>
      </c>
      <c r="L26" s="339">
        <v>5.9795470290087032</v>
      </c>
      <c r="M26" s="339">
        <v>5.162503209855096</v>
      </c>
      <c r="N26" s="230">
        <v>4.4640315206967403</v>
      </c>
      <c r="O26" s="344">
        <v>5.7198919569827273</v>
      </c>
      <c r="P26" s="347">
        <v>5.6548584474102981</v>
      </c>
      <c r="Q26" s="487"/>
      <c r="R26" s="495"/>
      <c r="S26" s="496"/>
      <c r="T26" s="124">
        <f>(6/7)*100</f>
        <v>85.714285714285708</v>
      </c>
      <c r="U26" s="434"/>
      <c r="V26" s="494"/>
    </row>
    <row r="27" spans="1:22" x14ac:dyDescent="0.2">
      <c r="A27" s="213" t="s">
        <v>19</v>
      </c>
      <c r="B27" s="208" t="s">
        <v>24</v>
      </c>
      <c r="C27" s="208" t="s">
        <v>78</v>
      </c>
      <c r="D27" s="185">
        <v>82</v>
      </c>
      <c r="E27" s="187">
        <v>10820</v>
      </c>
      <c r="F27" s="187">
        <v>500</v>
      </c>
      <c r="G27" s="200">
        <v>5</v>
      </c>
      <c r="H27" s="411"/>
      <c r="I27" s="339">
        <v>6.4735933688798726</v>
      </c>
      <c r="J27" s="339">
        <v>7.0967871364972082</v>
      </c>
      <c r="K27" s="339">
        <v>7.1214809721538277</v>
      </c>
      <c r="L27" s="339">
        <v>6.8216841347621733</v>
      </c>
      <c r="M27" s="339">
        <v>5.2965421323603232</v>
      </c>
      <c r="N27" s="339">
        <v>6.1410052667671549</v>
      </c>
      <c r="O27" s="290">
        <v>4.7049538596859453</v>
      </c>
      <c r="P27" s="525">
        <v>6.2365781244437857</v>
      </c>
      <c r="Q27" s="518">
        <f t="shared" ref="Q27" si="9">AVERAGE(I27:O29)</f>
        <v>6.1382498301725965</v>
      </c>
      <c r="R27" s="495"/>
      <c r="S27" s="496"/>
      <c r="T27" s="124">
        <f>(6/7)*100</f>
        <v>85.714285714285708</v>
      </c>
      <c r="U27" s="432">
        <f>(20/21)*100</f>
        <v>95.238095238095227</v>
      </c>
      <c r="V27" s="494"/>
    </row>
    <row r="28" spans="1:22" x14ac:dyDescent="0.2">
      <c r="A28" s="214" t="s">
        <v>19</v>
      </c>
      <c r="B28" s="182" t="s">
        <v>24</v>
      </c>
      <c r="C28" s="182" t="s">
        <v>78</v>
      </c>
      <c r="D28" s="191">
        <v>82</v>
      </c>
      <c r="E28" s="181">
        <v>20820</v>
      </c>
      <c r="F28" s="181">
        <v>926</v>
      </c>
      <c r="G28" s="201">
        <v>7</v>
      </c>
      <c r="H28" s="411"/>
      <c r="I28" s="339">
        <v>6.3805760967840888</v>
      </c>
      <c r="J28" s="339">
        <v>6.6691418726489848</v>
      </c>
      <c r="K28" s="339">
        <v>7.4262336176075383</v>
      </c>
      <c r="L28" s="339">
        <v>6.8644899041195586</v>
      </c>
      <c r="M28" s="339">
        <v>5.4590376875893858</v>
      </c>
      <c r="N28" s="339">
        <v>6.0524251548277928</v>
      </c>
      <c r="O28" s="344">
        <v>5.4896771275037315</v>
      </c>
      <c r="P28" s="525">
        <v>6.3345116372972976</v>
      </c>
      <c r="Q28" s="519"/>
      <c r="R28" s="495"/>
      <c r="S28" s="496"/>
      <c r="T28" s="124">
        <f>(7/7)*100</f>
        <v>100</v>
      </c>
      <c r="U28" s="433"/>
      <c r="V28" s="494"/>
    </row>
    <row r="29" spans="1:22" x14ac:dyDescent="0.2">
      <c r="A29" s="215" t="s">
        <v>19</v>
      </c>
      <c r="B29" s="211" t="s">
        <v>24</v>
      </c>
      <c r="C29" s="211" t="s">
        <v>78</v>
      </c>
      <c r="D29" s="196">
        <v>82</v>
      </c>
      <c r="E29" s="198">
        <v>30820</v>
      </c>
      <c r="F29" s="198">
        <v>3704</v>
      </c>
      <c r="G29" s="199">
        <v>15</v>
      </c>
      <c r="H29" s="412"/>
      <c r="I29" s="339">
        <v>6.2061979019443578</v>
      </c>
      <c r="J29" s="339">
        <v>6.375457990566292</v>
      </c>
      <c r="K29" s="339">
        <v>6.1842799925670668</v>
      </c>
      <c r="L29" s="339">
        <v>5.9598486534949382</v>
      </c>
      <c r="M29" s="339">
        <v>5.2026453190308279</v>
      </c>
      <c r="N29" s="339">
        <v>5.7488965640970582</v>
      </c>
      <c r="O29" s="344">
        <v>5.2282916797364267</v>
      </c>
      <c r="P29" s="347">
        <v>5.8436597287767098</v>
      </c>
      <c r="Q29" s="520"/>
      <c r="R29" s="495"/>
      <c r="S29" s="496"/>
      <c r="T29" s="124">
        <f>(7/7)*100</f>
        <v>100</v>
      </c>
      <c r="U29" s="434"/>
      <c r="V29" s="494"/>
    </row>
    <row r="30" spans="1:22" ht="15" x14ac:dyDescent="0.2">
      <c r="A30" s="216" t="s">
        <v>6</v>
      </c>
      <c r="B30" s="161" t="s">
        <v>50</v>
      </c>
      <c r="C30" s="161" t="s">
        <v>106</v>
      </c>
      <c r="D30" s="241">
        <v>53</v>
      </c>
      <c r="E30" s="158">
        <v>40530</v>
      </c>
      <c r="F30" s="218">
        <v>8334</v>
      </c>
      <c r="G30" s="219">
        <v>18</v>
      </c>
      <c r="H30" s="222" t="s">
        <v>104</v>
      </c>
      <c r="I30" s="339">
        <v>5.3815608755360174</v>
      </c>
      <c r="J30" s="230">
        <v>4.7181465328376886</v>
      </c>
      <c r="K30" s="339">
        <v>5.4398960505864187</v>
      </c>
      <c r="L30" s="230">
        <v>4.8076452719936373</v>
      </c>
      <c r="M30" s="230">
        <v>3.7132084546690454</v>
      </c>
      <c r="N30" s="230">
        <v>4.7203412630362021</v>
      </c>
      <c r="O30" s="290">
        <v>3.8942829717734937</v>
      </c>
      <c r="P30" s="345">
        <v>4.6678687743475011</v>
      </c>
      <c r="Q30" s="521">
        <v>4.6678687743475011</v>
      </c>
      <c r="R30" s="526">
        <v>4.6678687743475011</v>
      </c>
      <c r="S30" s="313">
        <v>4.5</v>
      </c>
      <c r="T30" s="124">
        <f>(2/7)*100</f>
        <v>28.571428571428569</v>
      </c>
      <c r="U30" s="124">
        <f t="shared" ref="U30:V30" si="10">(2/7)*100</f>
        <v>28.571428571428569</v>
      </c>
      <c r="V30" s="529">
        <f t="shared" si="10"/>
        <v>28.571428571428569</v>
      </c>
    </row>
    <row r="31" spans="1:22" ht="15.75" thickBot="1" x14ac:dyDescent="0.25">
      <c r="A31" s="216" t="s">
        <v>19</v>
      </c>
      <c r="B31" s="161" t="s">
        <v>20</v>
      </c>
      <c r="C31" s="161" t="s">
        <v>54</v>
      </c>
      <c r="D31" s="196">
        <v>72</v>
      </c>
      <c r="E31" s="218">
        <v>40720</v>
      </c>
      <c r="F31" s="218">
        <v>7233</v>
      </c>
      <c r="G31" s="219">
        <v>21</v>
      </c>
      <c r="H31" s="223" t="s">
        <v>105</v>
      </c>
      <c r="I31" s="339">
        <v>7.7364749672410973</v>
      </c>
      <c r="J31" s="339">
        <v>5.8487890099018847</v>
      </c>
      <c r="K31" s="339">
        <v>5.8652897920907821</v>
      </c>
      <c r="L31" s="339">
        <v>5.8568158396552708</v>
      </c>
      <c r="M31" s="339">
        <v>5.7798212969234317</v>
      </c>
      <c r="N31" s="230">
        <v>4.4194250544532432</v>
      </c>
      <c r="O31" s="344">
        <v>5.4976927881270745</v>
      </c>
      <c r="P31" s="349">
        <v>5.8577583926275398</v>
      </c>
      <c r="Q31" s="527">
        <v>5.8577583926275398</v>
      </c>
      <c r="R31" s="528">
        <v>5.8577583926275398</v>
      </c>
      <c r="S31" s="315">
        <v>4.5</v>
      </c>
      <c r="T31" s="316">
        <f>(6/7)*100</f>
        <v>85.714285714285708</v>
      </c>
      <c r="U31" s="316">
        <f t="shared" ref="U31:V31" si="11">(6/7)*100</f>
        <v>85.714285714285708</v>
      </c>
      <c r="V31" s="530">
        <f t="shared" si="11"/>
        <v>85.714285714285708</v>
      </c>
    </row>
    <row r="33" spans="1:23" s="171" customFormat="1" x14ac:dyDescent="0.2">
      <c r="A33" s="181"/>
      <c r="B33" s="182"/>
      <c r="C33" s="182"/>
      <c r="D33" s="182"/>
      <c r="E33" s="181"/>
      <c r="F33" s="182"/>
      <c r="G33" s="182"/>
      <c r="H33" s="182"/>
      <c r="I33"/>
      <c r="J33" s="224"/>
      <c r="K33"/>
      <c r="L33"/>
      <c r="M33"/>
      <c r="N33"/>
      <c r="O33"/>
      <c r="P33"/>
      <c r="Q33" s="256"/>
      <c r="R33" s="256"/>
      <c r="T33"/>
      <c r="U33"/>
      <c r="V33"/>
      <c r="W33"/>
    </row>
    <row r="34" spans="1:23" s="171" customFormat="1" x14ac:dyDescent="0.2">
      <c r="A34" s="181"/>
      <c r="B34" s="182"/>
      <c r="C34" s="182"/>
      <c r="D34" s="182"/>
      <c r="E34" s="181"/>
      <c r="F34" s="182"/>
      <c r="G34" s="182"/>
      <c r="H34" s="182"/>
      <c r="I34"/>
      <c r="J34"/>
      <c r="K34" s="299"/>
      <c r="L34" s="299"/>
      <c r="M34"/>
      <c r="N34"/>
      <c r="O34"/>
      <c r="P34"/>
      <c r="Q34" s="256"/>
      <c r="R34" s="256"/>
      <c r="T34"/>
      <c r="U34"/>
      <c r="V34"/>
      <c r="W34"/>
    </row>
    <row r="35" spans="1:23" s="171" customFormat="1" x14ac:dyDescent="0.2">
      <c r="A35" s="181"/>
      <c r="B35" s="182"/>
      <c r="C35" s="182"/>
      <c r="D35" s="182"/>
      <c r="E35" s="181"/>
      <c r="F35" s="182"/>
      <c r="G35" s="182"/>
      <c r="H35" s="182"/>
      <c r="I35"/>
      <c r="J35"/>
      <c r="K35" s="299"/>
      <c r="L35" s="299"/>
      <c r="M35"/>
      <c r="N35"/>
      <c r="O35"/>
      <c r="P35"/>
      <c r="Q35" s="256"/>
      <c r="R35" s="256"/>
      <c r="T35"/>
      <c r="U35"/>
      <c r="V35"/>
      <c r="W35"/>
    </row>
    <row r="36" spans="1:23" s="171" customFormat="1" x14ac:dyDescent="0.2">
      <c r="A36" s="181"/>
      <c r="B36" s="182"/>
      <c r="C36" s="182"/>
      <c r="D36" s="182"/>
      <c r="E36" s="181"/>
      <c r="F36" s="182"/>
      <c r="G36" s="182"/>
      <c r="H36" s="182"/>
      <c r="I36"/>
      <c r="J36"/>
      <c r="K36" s="299"/>
      <c r="L36" s="299"/>
      <c r="M36"/>
      <c r="N36"/>
      <c r="O36"/>
      <c r="P36"/>
      <c r="Q36" s="256"/>
      <c r="R36"/>
      <c r="T36"/>
      <c r="U36"/>
      <c r="V36"/>
      <c r="W36"/>
    </row>
    <row r="37" spans="1:23" s="171" customFormat="1" x14ac:dyDescent="0.2">
      <c r="A37" s="181"/>
      <c r="B37" s="182"/>
      <c r="C37" s="182"/>
      <c r="D37" s="182"/>
      <c r="E37" s="181"/>
      <c r="F37" s="182"/>
      <c r="G37" s="182"/>
      <c r="H37" s="182"/>
      <c r="I37"/>
      <c r="J37"/>
      <c r="K37" s="299"/>
      <c r="L37" s="299"/>
      <c r="M37"/>
      <c r="N37"/>
      <c r="O37"/>
      <c r="P37"/>
      <c r="Q37" s="256"/>
      <c r="R37"/>
      <c r="T37"/>
      <c r="U37"/>
      <c r="V37"/>
      <c r="W37"/>
    </row>
    <row r="38" spans="1:23" s="171" customFormat="1" x14ac:dyDescent="0.2">
      <c r="A38" s="181"/>
      <c r="B38" s="182"/>
      <c r="C38" s="182"/>
      <c r="D38" s="182"/>
      <c r="E38" s="181"/>
      <c r="F38" s="182"/>
      <c r="G38" s="182"/>
      <c r="H38" s="182"/>
      <c r="I38"/>
      <c r="J38"/>
      <c r="K38" s="299"/>
      <c r="L38" s="299"/>
      <c r="M38"/>
      <c r="N38"/>
      <c r="O38"/>
      <c r="P38"/>
      <c r="Q38" s="256"/>
      <c r="R38"/>
      <c r="T38"/>
      <c r="U38"/>
      <c r="V38"/>
      <c r="W38"/>
    </row>
    <row r="39" spans="1:23" s="171" customFormat="1" x14ac:dyDescent="0.2">
      <c r="A39" s="181"/>
      <c r="B39" s="182"/>
      <c r="C39" s="182"/>
      <c r="D39" s="182"/>
      <c r="E39" s="181"/>
      <c r="F39" s="182"/>
      <c r="G39" s="182"/>
      <c r="H39" s="182"/>
      <c r="I39"/>
      <c r="J39"/>
      <c r="K39" s="299"/>
      <c r="L39" s="299"/>
      <c r="M39"/>
      <c r="N39"/>
      <c r="O39"/>
      <c r="P39"/>
      <c r="Q39" s="256"/>
      <c r="R39"/>
      <c r="T39"/>
      <c r="U39"/>
      <c r="V39"/>
      <c r="W39"/>
    </row>
    <row r="40" spans="1:23" s="171" customFormat="1" x14ac:dyDescent="0.2">
      <c r="A40" s="181"/>
      <c r="B40" s="182"/>
      <c r="C40" s="182"/>
      <c r="D40" s="182"/>
      <c r="E40" s="181"/>
      <c r="F40" s="182"/>
      <c r="G40" s="182"/>
      <c r="H40" s="182"/>
      <c r="I40"/>
      <c r="J40"/>
      <c r="K40" s="299"/>
      <c r="L40" s="299"/>
      <c r="M40"/>
      <c r="N40"/>
      <c r="O40"/>
      <c r="P40"/>
      <c r="Q40"/>
      <c r="R40"/>
      <c r="T40"/>
      <c r="U40"/>
      <c r="V40"/>
      <c r="W40"/>
    </row>
  </sheetData>
  <mergeCells count="36">
    <mergeCell ref="H21:H29"/>
    <mergeCell ref="Q21:Q23"/>
    <mergeCell ref="R21:R29"/>
    <mergeCell ref="S21:S29"/>
    <mergeCell ref="U21:U23"/>
    <mergeCell ref="V21:V29"/>
    <mergeCell ref="Q24:Q26"/>
    <mergeCell ref="U24:U26"/>
    <mergeCell ref="Q27:Q29"/>
    <mergeCell ref="U27:U29"/>
    <mergeCell ref="V12:V17"/>
    <mergeCell ref="Q15:Q17"/>
    <mergeCell ref="U15:U17"/>
    <mergeCell ref="H18:H20"/>
    <mergeCell ref="Q18:Q20"/>
    <mergeCell ref="R18:R20"/>
    <mergeCell ref="S18:S20"/>
    <mergeCell ref="U18:U20"/>
    <mergeCell ref="V18:V20"/>
    <mergeCell ref="Q9:Q11"/>
    <mergeCell ref="U9:U11"/>
    <mergeCell ref="H12:H17"/>
    <mergeCell ref="Q12:Q14"/>
    <mergeCell ref="R12:R17"/>
    <mergeCell ref="S12:S17"/>
    <mergeCell ref="U12:U14"/>
    <mergeCell ref="P1:R1"/>
    <mergeCell ref="S1:V1"/>
    <mergeCell ref="H3:H11"/>
    <mergeCell ref="Q3:Q5"/>
    <mergeCell ref="R3:R11"/>
    <mergeCell ref="S3:S11"/>
    <mergeCell ref="U3:U5"/>
    <mergeCell ref="V3:V11"/>
    <mergeCell ref="Q6:Q8"/>
    <mergeCell ref="U6:U8"/>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20"/>
  <sheetViews>
    <sheetView topLeftCell="A7" workbookViewId="0">
      <selection activeCell="H15" sqref="H15"/>
    </sheetView>
  </sheetViews>
  <sheetFormatPr defaultRowHeight="12.75" x14ac:dyDescent="0.2"/>
  <cols>
    <col min="1" max="1" width="100.5703125" customWidth="1"/>
    <col min="2" max="2" width="11.140625" customWidth="1"/>
    <col min="3" max="3" width="14.28515625" customWidth="1"/>
    <col min="4" max="4" width="15.5703125" bestFit="1" customWidth="1"/>
    <col min="5" max="5" width="20.7109375" bestFit="1" customWidth="1"/>
    <col min="12" max="12" width="14.85546875" bestFit="1" customWidth="1"/>
    <col min="13" max="13" width="12" customWidth="1"/>
  </cols>
  <sheetData>
    <row r="1" spans="1:5" x14ac:dyDescent="0.2">
      <c r="A1" s="144" t="s">
        <v>102</v>
      </c>
      <c r="C1" s="259" t="s">
        <v>101</v>
      </c>
    </row>
    <row r="3" spans="1:5" ht="63.75" x14ac:dyDescent="0.2">
      <c r="A3" s="295" t="s">
        <v>103</v>
      </c>
    </row>
    <row r="5" spans="1:5" ht="38.25" x14ac:dyDescent="0.2">
      <c r="A5" s="251" t="s">
        <v>140</v>
      </c>
    </row>
    <row r="6" spans="1:5" x14ac:dyDescent="0.2">
      <c r="B6" s="139"/>
    </row>
    <row r="7" spans="1:5" ht="38.25" x14ac:dyDescent="0.2">
      <c r="A7" s="251" t="s">
        <v>141</v>
      </c>
      <c r="B7" s="139"/>
      <c r="C7" s="139"/>
    </row>
    <row r="8" spans="1:5" x14ac:dyDescent="0.2">
      <c r="B8" s="139"/>
      <c r="C8" s="139"/>
    </row>
    <row r="9" spans="1:5" ht="89.25" x14ac:dyDescent="0.2">
      <c r="A9" s="296" t="s">
        <v>174</v>
      </c>
    </row>
    <row r="10" spans="1:5" x14ac:dyDescent="0.2">
      <c r="B10" s="139"/>
      <c r="C10" s="139"/>
    </row>
    <row r="11" spans="1:5" ht="25.5" x14ac:dyDescent="0.2">
      <c r="A11" s="296" t="s">
        <v>171</v>
      </c>
      <c r="B11" s="139"/>
      <c r="C11" s="139"/>
    </row>
    <row r="12" spans="1:5" ht="12" customHeight="1" x14ac:dyDescent="0.2">
      <c r="B12" s="139"/>
      <c r="C12" s="139"/>
    </row>
    <row r="13" spans="1:5" ht="25.5" x14ac:dyDescent="0.2">
      <c r="A13" s="251" t="s">
        <v>142</v>
      </c>
      <c r="B13" s="139"/>
    </row>
    <row r="14" spans="1:5" ht="25.5" x14ac:dyDescent="0.2">
      <c r="A14" s="251" t="s">
        <v>143</v>
      </c>
      <c r="B14" s="139"/>
      <c r="C14" s="259" t="s">
        <v>100</v>
      </c>
      <c r="D14" s="140" t="s">
        <v>95</v>
      </c>
      <c r="E14" s="141" t="s">
        <v>96</v>
      </c>
    </row>
    <row r="15" spans="1:5" ht="38.25" x14ac:dyDescent="0.2">
      <c r="A15" s="251" t="s">
        <v>144</v>
      </c>
      <c r="D15" s="142" t="s">
        <v>97</v>
      </c>
      <c r="E15" s="143">
        <v>5</v>
      </c>
    </row>
    <row r="16" spans="1:5" ht="51" x14ac:dyDescent="0.2">
      <c r="A16" s="251" t="s">
        <v>145</v>
      </c>
      <c r="D16" s="142" t="s">
        <v>98</v>
      </c>
      <c r="E16" s="142">
        <v>4.5</v>
      </c>
    </row>
    <row r="17" spans="1:5" ht="51.75" customHeight="1" x14ac:dyDescent="0.2">
      <c r="A17" s="251" t="s">
        <v>146</v>
      </c>
      <c r="D17" s="142" t="s">
        <v>99</v>
      </c>
      <c r="E17" s="143">
        <v>4</v>
      </c>
    </row>
    <row r="18" spans="1:5" ht="38.25" x14ac:dyDescent="0.2">
      <c r="A18" s="251" t="s">
        <v>172</v>
      </c>
    </row>
    <row r="19" spans="1:5" ht="51" x14ac:dyDescent="0.2">
      <c r="A19" s="251" t="s">
        <v>173</v>
      </c>
    </row>
    <row r="20" spans="1:5" ht="51" x14ac:dyDescent="0.2">
      <c r="A20" s="251" t="s">
        <v>147</v>
      </c>
    </row>
  </sheetData>
  <phoneticPr fontId="1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3"/>
  <sheetViews>
    <sheetView workbookViewId="0">
      <selection activeCell="D1" sqref="D1:D65536"/>
    </sheetView>
  </sheetViews>
  <sheetFormatPr defaultRowHeight="12.75" x14ac:dyDescent="0.2"/>
  <cols>
    <col min="1" max="1" width="5.7109375" style="12" customWidth="1"/>
    <col min="2" max="2" width="22.85546875" style="15" bestFit="1" customWidth="1"/>
    <col min="3" max="3" width="38" style="15" bestFit="1" customWidth="1"/>
    <col min="4" max="4" width="9.85546875" style="12" customWidth="1"/>
    <col min="5" max="5" width="16.28515625" style="12" customWidth="1"/>
    <col min="6" max="6" width="14.140625" style="15" customWidth="1"/>
    <col min="7" max="7" width="11.28515625" style="15" bestFit="1" customWidth="1"/>
    <col min="8" max="8" width="9.140625" style="15"/>
    <col min="9" max="9" width="8.5703125" style="15" bestFit="1" customWidth="1"/>
    <col min="10" max="10" width="8.85546875" style="15" customWidth="1"/>
    <col min="11" max="19" width="9.140625" style="15"/>
    <col min="20" max="20" width="11.5703125" style="15" customWidth="1"/>
    <col min="21" max="21" width="11.42578125" style="15" customWidth="1"/>
    <col min="22" max="22" width="9.140625" style="15"/>
    <col min="23" max="23" width="10.140625" style="15" customWidth="1"/>
    <col min="24" max="24" width="10.5703125" style="15" customWidth="1"/>
    <col min="25" max="16384" width="9.140625" style="15"/>
  </cols>
  <sheetData>
    <row r="1" spans="1:24" s="10" customFormat="1" ht="28.5" customHeight="1" x14ac:dyDescent="0.2">
      <c r="A1" s="1" t="s">
        <v>0</v>
      </c>
      <c r="B1" s="2" t="s">
        <v>1</v>
      </c>
      <c r="C1" s="1" t="s">
        <v>2</v>
      </c>
      <c r="D1" s="3" t="s">
        <v>89</v>
      </c>
      <c r="E1" s="3" t="s">
        <v>27</v>
      </c>
      <c r="F1" s="1" t="s">
        <v>4</v>
      </c>
      <c r="G1" s="1" t="s">
        <v>5</v>
      </c>
      <c r="H1" s="3" t="s">
        <v>28</v>
      </c>
      <c r="I1" s="3" t="s">
        <v>29</v>
      </c>
      <c r="J1" s="3" t="s">
        <v>30</v>
      </c>
      <c r="K1" s="3" t="s">
        <v>31</v>
      </c>
      <c r="L1" s="3" t="s">
        <v>32</v>
      </c>
      <c r="M1" s="3" t="s">
        <v>33</v>
      </c>
      <c r="N1" s="3" t="s">
        <v>35</v>
      </c>
      <c r="O1" s="3" t="s">
        <v>36</v>
      </c>
      <c r="P1" s="3" t="s">
        <v>34</v>
      </c>
      <c r="Q1" s="3" t="s">
        <v>37</v>
      </c>
      <c r="R1" s="3" t="s">
        <v>38</v>
      </c>
      <c r="S1" s="3" t="s">
        <v>39</v>
      </c>
      <c r="T1" s="3" t="s">
        <v>40</v>
      </c>
      <c r="U1" s="3" t="s">
        <v>41</v>
      </c>
      <c r="V1" s="3" t="s">
        <v>42</v>
      </c>
      <c r="W1" s="3" t="s">
        <v>43</v>
      </c>
      <c r="X1" s="3" t="s">
        <v>44</v>
      </c>
    </row>
    <row r="2" spans="1:24" s="14" customFormat="1" x14ac:dyDescent="0.2">
      <c r="A2" s="4" t="s">
        <v>6</v>
      </c>
      <c r="B2" s="6" t="s">
        <v>7</v>
      </c>
      <c r="C2" s="4" t="s">
        <v>8</v>
      </c>
      <c r="D2" s="99">
        <v>1</v>
      </c>
      <c r="E2" s="11">
        <v>101</v>
      </c>
      <c r="F2" s="12">
        <v>500</v>
      </c>
      <c r="G2" s="13">
        <v>3</v>
      </c>
      <c r="H2" s="18">
        <v>4.746764468040646</v>
      </c>
      <c r="I2" s="18">
        <v>4.7292564297821951</v>
      </c>
      <c r="J2" s="18">
        <v>3.7425030044938579</v>
      </c>
      <c r="K2" s="18">
        <v>5.6095514130890303</v>
      </c>
      <c r="L2" s="18">
        <v>4.4705119459224569</v>
      </c>
      <c r="M2" s="18">
        <v>5.023096386373938</v>
      </c>
      <c r="N2" s="18">
        <v>6.094854774522104</v>
      </c>
      <c r="O2" s="18">
        <v>4.7846238723616077</v>
      </c>
      <c r="P2" s="18">
        <v>5.1734195286447457</v>
      </c>
      <c r="Q2" s="18">
        <v>5.0197775541025438</v>
      </c>
      <c r="R2" s="18">
        <v>3.9599536049194191</v>
      </c>
      <c r="S2" s="18">
        <v>5.8685760522867714</v>
      </c>
      <c r="T2" s="18">
        <v>4.5714955131571742</v>
      </c>
      <c r="U2" s="18">
        <v>4.8982657265172191</v>
      </c>
      <c r="V2" s="18">
        <v>4.6619899909595706</v>
      </c>
      <c r="W2" s="18">
        <v>5.4222041577991371</v>
      </c>
      <c r="X2" s="18">
        <v>5.0107118102037003</v>
      </c>
    </row>
    <row r="3" spans="1:24" s="14" customFormat="1" x14ac:dyDescent="0.2">
      <c r="A3" s="4" t="s">
        <v>6</v>
      </c>
      <c r="B3" s="6" t="s">
        <v>7</v>
      </c>
      <c r="C3" s="4" t="s">
        <v>8</v>
      </c>
      <c r="D3" s="99">
        <v>1</v>
      </c>
      <c r="E3" s="11">
        <v>201</v>
      </c>
      <c r="F3" s="12">
        <v>926</v>
      </c>
      <c r="G3" s="13">
        <v>6.5</v>
      </c>
      <c r="H3" s="18">
        <v>4.3946865532366353</v>
      </c>
      <c r="I3" s="18">
        <v>4.5374474824425217</v>
      </c>
      <c r="J3" s="18">
        <v>3.9591563367186242</v>
      </c>
      <c r="K3" s="18">
        <v>4.8718171678777171</v>
      </c>
      <c r="L3" s="18">
        <v>4.7867710898248079</v>
      </c>
      <c r="M3" s="18">
        <v>4.8884644964023263</v>
      </c>
      <c r="N3" s="18">
        <v>5.9329728042069121</v>
      </c>
      <c r="O3" s="18">
        <v>4.3469530581892259</v>
      </c>
      <c r="P3" s="18">
        <v>5.0144709029623042</v>
      </c>
      <c r="Q3" s="18">
        <v>4.8460501600985966</v>
      </c>
      <c r="R3" s="18">
        <v>3.9741307363017508</v>
      </c>
      <c r="S3" s="18">
        <v>4.6457322669919545</v>
      </c>
      <c r="T3" s="18">
        <v>4.5463605947174273</v>
      </c>
      <c r="U3" s="18">
        <v>4.2620927059096259</v>
      </c>
      <c r="V3" s="18">
        <v>3.676408053839908</v>
      </c>
      <c r="W3" s="18">
        <v>4.9539817536123749</v>
      </c>
      <c r="X3" s="18">
        <v>5.0150991467467643</v>
      </c>
    </row>
    <row r="4" spans="1:24" s="14" customFormat="1" x14ac:dyDescent="0.2">
      <c r="A4" s="4" t="s">
        <v>6</v>
      </c>
      <c r="B4" s="6" t="s">
        <v>7</v>
      </c>
      <c r="C4" s="4" t="s">
        <v>8</v>
      </c>
      <c r="D4" s="99">
        <v>1</v>
      </c>
      <c r="E4" s="11">
        <v>301</v>
      </c>
      <c r="F4" s="12">
        <v>3704</v>
      </c>
      <c r="G4" s="13">
        <v>13.5</v>
      </c>
      <c r="H4" s="18">
        <v>4.3862353857213394</v>
      </c>
      <c r="I4" s="18">
        <v>5.0403559033932215</v>
      </c>
      <c r="J4" s="18">
        <v>3.7893114356049447</v>
      </c>
      <c r="K4" s="18">
        <v>5.1454635873411005</v>
      </c>
      <c r="L4" s="18">
        <v>3.1766820480102038</v>
      </c>
      <c r="M4" s="18">
        <v>4.5885213617914484</v>
      </c>
      <c r="N4" s="18">
        <v>5.1557064687094458</v>
      </c>
      <c r="O4" s="18">
        <v>3.8625884341157386</v>
      </c>
      <c r="P4" s="18">
        <v>4.7638506243495167</v>
      </c>
      <c r="Q4" s="18">
        <v>3.8107967193751024</v>
      </c>
      <c r="R4" s="18">
        <v>3.0390167301245619</v>
      </c>
      <c r="S4" s="18">
        <v>4.6023774477262132</v>
      </c>
      <c r="T4" s="18">
        <v>3.1992645203914822</v>
      </c>
      <c r="U4" s="18">
        <v>4.0117431447801826</v>
      </c>
      <c r="V4" s="18">
        <v>4.5461091121628048</v>
      </c>
      <c r="W4" s="18">
        <v>4.0915474788660111</v>
      </c>
      <c r="X4" s="18">
        <v>4.7427933140958478</v>
      </c>
    </row>
    <row r="5" spans="1:24" s="14" customFormat="1" x14ac:dyDescent="0.2">
      <c r="A5" s="4" t="s">
        <v>6</v>
      </c>
      <c r="B5" s="4" t="s">
        <v>9</v>
      </c>
      <c r="C5" s="4" t="s">
        <v>46</v>
      </c>
      <c r="D5" s="99">
        <v>8</v>
      </c>
      <c r="E5" s="11">
        <v>108</v>
      </c>
      <c r="F5" s="12">
        <v>500</v>
      </c>
      <c r="G5" s="13">
        <v>2</v>
      </c>
      <c r="H5" s="18">
        <v>3.0620658103248726</v>
      </c>
      <c r="I5" s="18">
        <v>5.1203236040098536</v>
      </c>
      <c r="J5" s="18">
        <v>3.8179030554740954</v>
      </c>
      <c r="K5" s="18">
        <v>5.2974183798641459</v>
      </c>
      <c r="L5" s="18">
        <v>4.7071806859618555</v>
      </c>
      <c r="M5" s="18">
        <v>4.866305595389754</v>
      </c>
      <c r="N5" s="18">
        <v>5.4025218379831168</v>
      </c>
      <c r="O5" s="18">
        <v>4.7427276176255937</v>
      </c>
      <c r="P5" s="18">
        <v>5.730971388905223</v>
      </c>
      <c r="Q5" s="18">
        <v>5.827824136716317</v>
      </c>
      <c r="R5" s="18">
        <v>4.0798394924179533</v>
      </c>
      <c r="S5" s="18">
        <v>5.0096985486233434</v>
      </c>
      <c r="T5" s="18">
        <v>4.2182280240103101</v>
      </c>
      <c r="U5" s="18">
        <v>4.9515686841821047</v>
      </c>
      <c r="V5" s="18">
        <v>4.6345343897711961</v>
      </c>
      <c r="W5" s="18">
        <v>5.4932760825040052</v>
      </c>
      <c r="X5" s="18">
        <v>5.3058711899097988</v>
      </c>
    </row>
    <row r="6" spans="1:24" s="14" customFormat="1" x14ac:dyDescent="0.2">
      <c r="A6" s="4" t="s">
        <v>6</v>
      </c>
      <c r="B6" s="4" t="s">
        <v>9</v>
      </c>
      <c r="C6" s="4" t="s">
        <v>46</v>
      </c>
      <c r="D6" s="99">
        <v>8</v>
      </c>
      <c r="E6" s="11">
        <v>208</v>
      </c>
      <c r="F6" s="12">
        <v>926</v>
      </c>
      <c r="G6" s="13">
        <v>4.5</v>
      </c>
      <c r="H6" s="18">
        <v>3.4142376865456869</v>
      </c>
      <c r="I6" s="18">
        <v>4.9541469928867157</v>
      </c>
      <c r="J6" s="18">
        <v>3.9770473105154576</v>
      </c>
      <c r="K6" s="18">
        <v>5.1795915316315861</v>
      </c>
      <c r="L6" s="18">
        <v>4.6735861264551133</v>
      </c>
      <c r="M6" s="18">
        <v>5.4211671697746198</v>
      </c>
      <c r="N6" s="18">
        <v>5.4747485013350019</v>
      </c>
      <c r="O6" s="18">
        <v>5.0326972174679909</v>
      </c>
      <c r="P6" s="18">
        <v>4.9090973230129622</v>
      </c>
      <c r="Q6" s="18">
        <v>5.6295991032907899</v>
      </c>
      <c r="R6" s="18">
        <v>4.1252221077209015</v>
      </c>
      <c r="S6" s="18">
        <v>3.9564283316697475</v>
      </c>
      <c r="T6" s="18">
        <v>4.3718248201645444</v>
      </c>
      <c r="U6" s="18">
        <v>4.5830500754442536</v>
      </c>
      <c r="V6" s="18">
        <v>4.7473255769137532</v>
      </c>
      <c r="W6" s="18">
        <v>4.5842924518909696</v>
      </c>
      <c r="X6" s="18">
        <v>4.5910194715765344</v>
      </c>
    </row>
    <row r="7" spans="1:24" s="14" customFormat="1" x14ac:dyDescent="0.2">
      <c r="A7" s="4" t="s">
        <v>6</v>
      </c>
      <c r="B7" s="4" t="s">
        <v>9</v>
      </c>
      <c r="C7" s="4" t="s">
        <v>46</v>
      </c>
      <c r="D7" s="99">
        <v>8</v>
      </c>
      <c r="E7" s="11">
        <v>308</v>
      </c>
      <c r="F7" s="12">
        <v>3704</v>
      </c>
      <c r="G7" s="13">
        <v>13</v>
      </c>
      <c r="H7" s="18">
        <v>4.2552754966068402</v>
      </c>
      <c r="I7" s="18">
        <v>4.9438438220585956</v>
      </c>
      <c r="J7" s="18">
        <v>3.9704736185227127</v>
      </c>
      <c r="K7" s="18">
        <v>5.2443188119372017</v>
      </c>
      <c r="L7" s="18">
        <v>4.0855126766770056</v>
      </c>
      <c r="M7" s="18">
        <v>3.7809374368534217</v>
      </c>
      <c r="N7" s="18">
        <v>4.964985627924019</v>
      </c>
      <c r="O7" s="18">
        <v>2.7332096861578834</v>
      </c>
      <c r="P7" s="18">
        <v>4.955279067715689</v>
      </c>
      <c r="Q7" s="18">
        <v>3.9502678400457301</v>
      </c>
      <c r="R7" s="18">
        <v>3.2459088241613592</v>
      </c>
      <c r="S7" s="18">
        <v>4.0364223923768661</v>
      </c>
      <c r="T7" s="18">
        <v>3.79755774272396</v>
      </c>
      <c r="U7" s="18">
        <v>4.3162038126407154</v>
      </c>
      <c r="V7" s="18">
        <v>5.0076215352614906</v>
      </c>
      <c r="W7" s="18">
        <v>4.7419118912394023</v>
      </c>
      <c r="X7" s="18">
        <v>4.6450115071074141</v>
      </c>
    </row>
    <row r="8" spans="1:24" s="14" customFormat="1" x14ac:dyDescent="0.2">
      <c r="A8" s="4" t="s">
        <v>6</v>
      </c>
      <c r="B8" s="4" t="s">
        <v>9</v>
      </c>
      <c r="C8" s="4" t="s">
        <v>10</v>
      </c>
      <c r="D8" s="99">
        <v>10</v>
      </c>
      <c r="E8" s="11">
        <v>110</v>
      </c>
      <c r="F8" s="12">
        <v>500</v>
      </c>
      <c r="G8" s="13">
        <v>2</v>
      </c>
      <c r="H8" s="18">
        <v>4.6160802107722478</v>
      </c>
      <c r="I8" s="18">
        <v>5.2936822847619318</v>
      </c>
      <c r="J8" s="18">
        <v>4.551556253044712</v>
      </c>
      <c r="K8" s="18">
        <v>6.7230857455654354</v>
      </c>
      <c r="L8" s="18">
        <v>6.0450737105534724</v>
      </c>
      <c r="M8" s="18">
        <v>5.6129471172082415</v>
      </c>
      <c r="N8" s="18">
        <v>6.0156571481357863</v>
      </c>
      <c r="O8" s="18">
        <v>5.0491752609373393</v>
      </c>
      <c r="P8" s="18">
        <v>5.7641774909169392</v>
      </c>
      <c r="Q8" s="18">
        <v>5.7433242656730794</v>
      </c>
      <c r="R8" s="18">
        <v>4.6994883975303088</v>
      </c>
      <c r="S8" s="18">
        <v>5.3334546453800025</v>
      </c>
      <c r="T8" s="18">
        <v>4.4590829695483283</v>
      </c>
      <c r="U8" s="18">
        <v>4.7560853232310016</v>
      </c>
      <c r="V8" s="18">
        <v>4.9479630087563047</v>
      </c>
      <c r="W8" s="18">
        <v>5.4338572826133342</v>
      </c>
      <c r="X8" s="18">
        <v>4.8227397203825912</v>
      </c>
    </row>
    <row r="9" spans="1:24" s="14" customFormat="1" x14ac:dyDescent="0.2">
      <c r="A9" s="4" t="s">
        <v>6</v>
      </c>
      <c r="B9" s="4" t="s">
        <v>9</v>
      </c>
      <c r="C9" s="4" t="s">
        <v>10</v>
      </c>
      <c r="D9" s="99">
        <v>10</v>
      </c>
      <c r="E9" s="11">
        <v>210</v>
      </c>
      <c r="F9" s="12">
        <v>926</v>
      </c>
      <c r="G9" s="13">
        <v>4.5</v>
      </c>
      <c r="H9" s="18">
        <v>4.132782327253075</v>
      </c>
      <c r="I9" s="18">
        <v>5.2776743855951933</v>
      </c>
      <c r="J9" s="18">
        <v>4.264509948553072</v>
      </c>
      <c r="K9" s="18">
        <v>5.9793398359295962</v>
      </c>
      <c r="L9" s="18">
        <v>5.0480881888538089</v>
      </c>
      <c r="M9" s="18">
        <v>5.6332852993107023</v>
      </c>
      <c r="N9" s="18">
        <v>5.4406507757494298</v>
      </c>
      <c r="O9" s="18">
        <v>4.7202540067692222</v>
      </c>
      <c r="P9" s="18">
        <v>5.3946971604216225</v>
      </c>
      <c r="Q9" s="18">
        <v>5.8078277099143607</v>
      </c>
      <c r="R9" s="18">
        <v>4.5212856504149839</v>
      </c>
      <c r="S9" s="18">
        <v>4.5206620883511146</v>
      </c>
      <c r="T9" s="18">
        <v>4.1931092281868532</v>
      </c>
      <c r="U9" s="18">
        <v>5.0087935747284487</v>
      </c>
      <c r="V9" s="18">
        <v>5.020688033474058</v>
      </c>
      <c r="W9" s="18">
        <v>5.4051998950480664</v>
      </c>
      <c r="X9" s="18">
        <v>5.789595895483945</v>
      </c>
    </row>
    <row r="10" spans="1:24" s="14" customFormat="1" x14ac:dyDescent="0.2">
      <c r="A10" s="4" t="s">
        <v>6</v>
      </c>
      <c r="B10" s="4" t="s">
        <v>9</v>
      </c>
      <c r="C10" s="4" t="s">
        <v>10</v>
      </c>
      <c r="D10" s="99">
        <v>10</v>
      </c>
      <c r="E10" s="11">
        <v>310</v>
      </c>
      <c r="F10" s="12">
        <v>3704</v>
      </c>
      <c r="G10" s="13">
        <v>11.5</v>
      </c>
      <c r="H10" s="18">
        <v>4.0930542894760666</v>
      </c>
      <c r="I10" s="18">
        <v>4.848087573759134</v>
      </c>
      <c r="J10" s="18">
        <v>3.5354588396266249</v>
      </c>
      <c r="K10" s="18">
        <v>5.5569973248809363</v>
      </c>
      <c r="L10" s="18">
        <v>4.7221821140467091</v>
      </c>
      <c r="M10" s="18">
        <v>4.1492375315420427</v>
      </c>
      <c r="N10" s="18">
        <v>5.0657176303929576</v>
      </c>
      <c r="O10" s="18">
        <v>4.262753235393232</v>
      </c>
      <c r="P10" s="18">
        <v>5.430756157251734</v>
      </c>
      <c r="Q10" s="18">
        <v>4.933695611151971</v>
      </c>
      <c r="R10" s="18">
        <v>3.1656862355228905</v>
      </c>
      <c r="S10" s="18">
        <v>4.1557682814938826</v>
      </c>
      <c r="T10" s="18">
        <v>3.9027750618414334</v>
      </c>
      <c r="U10" s="18">
        <v>4.4506949400847136</v>
      </c>
      <c r="V10" s="18">
        <v>4.5202115226640114</v>
      </c>
      <c r="W10" s="18">
        <v>4.3886688019937967</v>
      </c>
      <c r="X10" s="18">
        <v>5.3711850365522542</v>
      </c>
    </row>
    <row r="11" spans="1:24" s="14" customFormat="1" x14ac:dyDescent="0.2">
      <c r="A11" s="4" t="s">
        <v>6</v>
      </c>
      <c r="B11" s="4" t="s">
        <v>9</v>
      </c>
      <c r="C11" s="4" t="s">
        <v>11</v>
      </c>
      <c r="D11" s="99">
        <v>15</v>
      </c>
      <c r="E11" s="11">
        <v>115</v>
      </c>
      <c r="F11" s="12">
        <v>500</v>
      </c>
      <c r="G11" s="13">
        <v>2.5</v>
      </c>
      <c r="H11" s="18">
        <v>4.1889521856970005</v>
      </c>
      <c r="I11" s="18">
        <v>5.3833410441803</v>
      </c>
      <c r="J11" s="18">
        <v>4.4061361365048253</v>
      </c>
      <c r="K11" s="18">
        <v>6.5421869732002929</v>
      </c>
      <c r="L11" s="18">
        <v>5.7427525917333169</v>
      </c>
      <c r="M11" s="18">
        <v>5.6121947275911435</v>
      </c>
      <c r="N11" s="18">
        <v>6.0569020974286509</v>
      </c>
      <c r="O11" s="18">
        <v>4.9245389478429926</v>
      </c>
      <c r="P11" s="18">
        <v>4.5463636628045503</v>
      </c>
      <c r="Q11" s="18">
        <v>5.413917815057987</v>
      </c>
      <c r="R11" s="18">
        <v>5.5250889368525264</v>
      </c>
      <c r="S11" s="18">
        <v>5.2128095417675704</v>
      </c>
      <c r="T11" s="18">
        <v>5.1548762712180656</v>
      </c>
      <c r="U11" s="18">
        <v>5.3919287110872229</v>
      </c>
      <c r="V11" s="18">
        <v>5.3742647220815005</v>
      </c>
      <c r="W11" s="18">
        <v>6.1648268184064374</v>
      </c>
      <c r="X11" s="18">
        <v>5.106414471016036</v>
      </c>
    </row>
    <row r="12" spans="1:24" s="14" customFormat="1" x14ac:dyDescent="0.2">
      <c r="A12" s="4" t="s">
        <v>6</v>
      </c>
      <c r="B12" s="4" t="s">
        <v>9</v>
      </c>
      <c r="C12" s="4" t="s">
        <v>11</v>
      </c>
      <c r="D12" s="99">
        <v>15</v>
      </c>
      <c r="E12" s="11">
        <v>215</v>
      </c>
      <c r="F12" s="12">
        <v>926</v>
      </c>
      <c r="G12" s="13">
        <v>6</v>
      </c>
      <c r="H12" s="18">
        <v>4.2294834940140076</v>
      </c>
      <c r="I12" s="18">
        <v>5.2063828454354928</v>
      </c>
      <c r="J12" s="18">
        <v>4.3894956755822774</v>
      </c>
      <c r="K12" s="18">
        <v>6.0405062573478601</v>
      </c>
      <c r="L12" s="18">
        <v>5.8443831629848342</v>
      </c>
      <c r="M12" s="18">
        <v>6.0361627790324537</v>
      </c>
      <c r="N12" s="18">
        <v>5.9876274593111445</v>
      </c>
      <c r="O12" s="18">
        <v>4.2387724833877947</v>
      </c>
      <c r="P12" s="18">
        <v>5.6262273463830725</v>
      </c>
      <c r="Q12" s="18">
        <v>6.0138894178945232</v>
      </c>
      <c r="R12" s="18">
        <v>5.3756979372311893</v>
      </c>
      <c r="S12" s="18">
        <v>4.6281462116591072</v>
      </c>
      <c r="T12" s="18">
        <v>4.8086511202893147</v>
      </c>
      <c r="U12" s="18">
        <v>5.6809176994865247</v>
      </c>
      <c r="V12" s="18">
        <v>5.3592915417630955</v>
      </c>
      <c r="W12" s="18">
        <v>5.8884631499350055</v>
      </c>
      <c r="X12" s="18">
        <v>4.9519896413584092</v>
      </c>
    </row>
    <row r="13" spans="1:24" s="14" customFormat="1" x14ac:dyDescent="0.2">
      <c r="A13" s="4" t="s">
        <v>6</v>
      </c>
      <c r="B13" s="4" t="s">
        <v>9</v>
      </c>
      <c r="C13" s="4" t="s">
        <v>11</v>
      </c>
      <c r="D13" s="99">
        <v>15</v>
      </c>
      <c r="E13" s="11">
        <v>315</v>
      </c>
      <c r="F13" s="12">
        <v>3704</v>
      </c>
      <c r="G13" s="13">
        <v>13.5</v>
      </c>
      <c r="H13" s="18">
        <v>4.5736301487726552</v>
      </c>
      <c r="I13" s="18">
        <v>4.9069053010780683</v>
      </c>
      <c r="J13" s="18">
        <v>4.7915385900737322</v>
      </c>
      <c r="K13" s="18">
        <v>5.5864502599834998</v>
      </c>
      <c r="L13" s="18">
        <v>4.8496715630765763</v>
      </c>
      <c r="M13" s="18">
        <v>3.6348383280677421</v>
      </c>
      <c r="N13" s="18">
        <v>4.9231120275481777</v>
      </c>
      <c r="O13" s="18">
        <v>4.1005480229295657</v>
      </c>
      <c r="P13" s="18">
        <v>5.4519319413528349</v>
      </c>
      <c r="Q13" s="18">
        <v>5.1561091882862096</v>
      </c>
      <c r="R13" s="18">
        <v>2.6563493666325626</v>
      </c>
      <c r="S13" s="18">
        <v>4.7206386259527244</v>
      </c>
      <c r="T13" s="18">
        <v>3.6502588283611748</v>
      </c>
      <c r="U13" s="18">
        <v>4.9252953514103428</v>
      </c>
      <c r="V13" s="18">
        <v>4.8475720434095315</v>
      </c>
      <c r="W13" s="18">
        <v>5.7655802568761585</v>
      </c>
      <c r="X13" s="18">
        <v>5.1124567156109837</v>
      </c>
    </row>
    <row r="14" spans="1:24" s="14" customFormat="1" x14ac:dyDescent="0.2">
      <c r="A14" s="4" t="s">
        <v>6</v>
      </c>
      <c r="B14" s="4" t="s">
        <v>12</v>
      </c>
      <c r="C14" s="4" t="s">
        <v>47</v>
      </c>
      <c r="D14" s="99">
        <v>24</v>
      </c>
      <c r="E14" s="11">
        <v>124</v>
      </c>
      <c r="F14" s="12">
        <v>500</v>
      </c>
      <c r="G14" s="13">
        <v>2.5</v>
      </c>
      <c r="H14" s="18">
        <v>4.4986530199964347</v>
      </c>
      <c r="I14" s="18">
        <v>4.8945944597109206</v>
      </c>
      <c r="J14" s="18">
        <v>4.7216004951396418</v>
      </c>
      <c r="K14" s="18">
        <v>5.8812598396821123</v>
      </c>
      <c r="L14" s="18">
        <v>5.5064211457642811</v>
      </c>
      <c r="M14" s="18">
        <v>5.4658621463130865</v>
      </c>
      <c r="N14" s="18">
        <v>6.2563845126541855</v>
      </c>
      <c r="O14" s="18">
        <v>4.7523094021771799</v>
      </c>
      <c r="P14" s="18">
        <v>5.6826300699348833</v>
      </c>
      <c r="Q14" s="18">
        <v>4.1203303163802119</v>
      </c>
      <c r="R14" s="18">
        <v>4.8271606942855936</v>
      </c>
      <c r="S14" s="18">
        <v>5.4143884497365899</v>
      </c>
      <c r="T14" s="18">
        <v>4.3990495686868485</v>
      </c>
      <c r="U14" s="18">
        <v>5.1797803640154862</v>
      </c>
      <c r="V14" s="18">
        <v>5.6818387437031177</v>
      </c>
      <c r="W14" s="18">
        <v>5.7709391281467646</v>
      </c>
      <c r="X14" s="18">
        <v>5.2422495068895199</v>
      </c>
    </row>
    <row r="15" spans="1:24" s="14" customFormat="1" x14ac:dyDescent="0.2">
      <c r="A15" s="4" t="s">
        <v>6</v>
      </c>
      <c r="B15" s="4" t="s">
        <v>12</v>
      </c>
      <c r="C15" s="4" t="s">
        <v>47</v>
      </c>
      <c r="D15" s="99">
        <v>24</v>
      </c>
      <c r="E15" s="11">
        <v>224</v>
      </c>
      <c r="F15" s="12">
        <v>926</v>
      </c>
      <c r="G15" s="13">
        <v>6.5</v>
      </c>
      <c r="H15" s="18">
        <v>3.9821668963298995</v>
      </c>
      <c r="I15" s="18">
        <v>4.8782864160619797</v>
      </c>
      <c r="J15" s="18">
        <v>4.8971475651030074</v>
      </c>
      <c r="K15" s="18">
        <v>5.58661831643147</v>
      </c>
      <c r="L15" s="18">
        <v>5.56601845062153</v>
      </c>
      <c r="M15" s="18">
        <v>5.7938710175804591</v>
      </c>
      <c r="N15" s="18">
        <v>6.3113677730554008</v>
      </c>
      <c r="O15" s="18">
        <v>4.0049926560940277</v>
      </c>
      <c r="P15" s="18">
        <v>5.5838423701477113</v>
      </c>
      <c r="Q15" s="18">
        <v>4.4698131935856917</v>
      </c>
      <c r="R15" s="18">
        <v>4.9851024651718205</v>
      </c>
      <c r="S15" s="18">
        <v>4.6508942188501141</v>
      </c>
      <c r="T15" s="18">
        <v>4.0118646811962577</v>
      </c>
      <c r="U15" s="18">
        <v>5.338292461324758</v>
      </c>
      <c r="V15" s="18">
        <v>4.4667635339568381</v>
      </c>
      <c r="W15" s="18">
        <v>6.0137215304996907</v>
      </c>
      <c r="X15" s="18">
        <v>4.8589725555631116</v>
      </c>
    </row>
    <row r="16" spans="1:24" s="14" customFormat="1" x14ac:dyDescent="0.2">
      <c r="A16" s="4" t="s">
        <v>6</v>
      </c>
      <c r="B16" s="4" t="s">
        <v>12</v>
      </c>
      <c r="C16" s="4" t="s">
        <v>47</v>
      </c>
      <c r="D16" s="99">
        <v>24</v>
      </c>
      <c r="E16" s="11">
        <v>324</v>
      </c>
      <c r="F16" s="12">
        <v>3704</v>
      </c>
      <c r="G16" s="13">
        <v>15</v>
      </c>
      <c r="H16" s="18">
        <v>4.276403475235889</v>
      </c>
      <c r="I16" s="18">
        <v>5.2713771729322731</v>
      </c>
      <c r="J16" s="18">
        <v>4.5516473838723783</v>
      </c>
      <c r="K16" s="18">
        <v>4.875631334778161</v>
      </c>
      <c r="L16" s="18">
        <v>4.2825943826370185</v>
      </c>
      <c r="M16" s="18">
        <v>4.9206001327442941</v>
      </c>
      <c r="N16" s="18">
        <v>6.0864835088943448</v>
      </c>
      <c r="O16" s="18">
        <v>4.3546584180307137</v>
      </c>
      <c r="P16" s="18">
        <v>5.3438930165720588</v>
      </c>
      <c r="Q16" s="18">
        <v>4.7327301126946537</v>
      </c>
      <c r="R16" s="18">
        <v>3.1302820894923382</v>
      </c>
      <c r="S16" s="18">
        <v>4.4734931904800348</v>
      </c>
      <c r="T16" s="18">
        <v>4.2581141291367208</v>
      </c>
      <c r="U16" s="18">
        <v>5.0386551894931317</v>
      </c>
      <c r="V16" s="18">
        <v>4.8706057769212743</v>
      </c>
      <c r="W16" s="18">
        <v>5.5818982609066898</v>
      </c>
      <c r="X16" s="18">
        <v>4.4990420404848415</v>
      </c>
    </row>
    <row r="17" spans="1:24" s="14" customFormat="1" x14ac:dyDescent="0.2">
      <c r="A17" s="4" t="s">
        <v>6</v>
      </c>
      <c r="B17" s="6" t="s">
        <v>13</v>
      </c>
      <c r="C17" s="4" t="s">
        <v>14</v>
      </c>
      <c r="D17" s="99">
        <v>32</v>
      </c>
      <c r="E17" s="11">
        <v>132</v>
      </c>
      <c r="F17" s="12">
        <v>500</v>
      </c>
      <c r="G17" s="13">
        <v>2.5</v>
      </c>
      <c r="H17" s="18">
        <v>4.3545090013997534</v>
      </c>
      <c r="I17" s="18">
        <v>4.2684945821253981</v>
      </c>
      <c r="J17" s="18">
        <v>4.1701064419661904</v>
      </c>
      <c r="K17" s="18">
        <v>5.5917385185212849</v>
      </c>
      <c r="L17" s="18">
        <v>5.3192839157725471</v>
      </c>
      <c r="M17" s="18">
        <v>5.3881853689789985</v>
      </c>
      <c r="N17" s="18">
        <v>5.794796648450407</v>
      </c>
      <c r="O17" s="18">
        <v>4.3204405210826682</v>
      </c>
      <c r="P17" s="18">
        <v>5.5752984544168482</v>
      </c>
      <c r="Q17" s="18">
        <v>5.1712706613871813</v>
      </c>
      <c r="R17" s="18">
        <v>5.3142379790454939</v>
      </c>
      <c r="S17" s="18">
        <v>5.7153903741875522</v>
      </c>
      <c r="T17" s="18">
        <v>4.3079838965898611</v>
      </c>
      <c r="U17" s="18">
        <v>4.9016029136187838</v>
      </c>
      <c r="V17" s="18">
        <v>5.1503095431043562</v>
      </c>
      <c r="W17" s="18">
        <v>5.230627179109657</v>
      </c>
      <c r="X17" s="18">
        <v>5.4239901287340277</v>
      </c>
    </row>
    <row r="18" spans="1:24" s="14" customFormat="1" x14ac:dyDescent="0.2">
      <c r="A18" s="4" t="s">
        <v>6</v>
      </c>
      <c r="B18" s="6" t="s">
        <v>13</v>
      </c>
      <c r="C18" s="4" t="s">
        <v>14</v>
      </c>
      <c r="D18" s="99">
        <v>32</v>
      </c>
      <c r="E18" s="11">
        <v>232</v>
      </c>
      <c r="F18" s="12">
        <v>926</v>
      </c>
      <c r="G18" s="13">
        <v>6.5</v>
      </c>
      <c r="H18" s="18">
        <v>3.8065391110838771</v>
      </c>
      <c r="I18" s="18">
        <v>5.5117742647889063</v>
      </c>
      <c r="J18" s="18">
        <v>5.003968755701778</v>
      </c>
      <c r="K18" s="18">
        <v>6.0235168737074449</v>
      </c>
      <c r="L18" s="18">
        <v>5.8887971125673513</v>
      </c>
      <c r="M18" s="18">
        <v>4.3780401478595197</v>
      </c>
      <c r="N18" s="18">
        <v>5.848799507272199</v>
      </c>
      <c r="O18" s="18">
        <v>5.1433011060562102</v>
      </c>
      <c r="P18" s="18">
        <v>5.6990017878756962</v>
      </c>
      <c r="Q18" s="18">
        <v>5.2711632028052584</v>
      </c>
      <c r="R18" s="18">
        <v>4.7463671823513849</v>
      </c>
      <c r="S18" s="18">
        <v>4.7240960444286175</v>
      </c>
      <c r="T18" s="18">
        <v>3.9787884933843807</v>
      </c>
      <c r="U18" s="18">
        <v>4.6924328925248924</v>
      </c>
      <c r="V18" s="18">
        <v>4.8870261564109256</v>
      </c>
      <c r="W18" s="18">
        <v>4.9265096769495234</v>
      </c>
      <c r="X18" s="18">
        <v>4.9823582978578633</v>
      </c>
    </row>
    <row r="19" spans="1:24" s="14" customFormat="1" x14ac:dyDescent="0.2">
      <c r="A19" s="4" t="s">
        <v>6</v>
      </c>
      <c r="B19" s="6" t="s">
        <v>13</v>
      </c>
      <c r="C19" s="4" t="s">
        <v>14</v>
      </c>
      <c r="D19" s="99">
        <v>32</v>
      </c>
      <c r="E19" s="11">
        <v>332</v>
      </c>
      <c r="F19" s="12">
        <v>3704</v>
      </c>
      <c r="G19" s="13">
        <v>16</v>
      </c>
      <c r="H19" s="18">
        <v>3.3154900357191917</v>
      </c>
      <c r="I19" s="18">
        <v>5.11438610877891</v>
      </c>
      <c r="J19" s="18">
        <v>3.6028199089447797</v>
      </c>
      <c r="K19" s="18">
        <v>5.4340907741868456</v>
      </c>
      <c r="L19" s="18">
        <v>5.2064056412160333</v>
      </c>
      <c r="M19" s="18">
        <v>5.1074307479318168</v>
      </c>
      <c r="N19" s="18">
        <v>4.6269018586386785</v>
      </c>
      <c r="O19" s="18">
        <v>4.2422234833905987</v>
      </c>
      <c r="P19" s="18">
        <v>5.3189329729998658</v>
      </c>
      <c r="Q19" s="18">
        <v>3.9541036490699333</v>
      </c>
      <c r="R19" s="18">
        <v>3.4478864355203065</v>
      </c>
      <c r="S19" s="18">
        <v>4.8734675587185361</v>
      </c>
      <c r="T19" s="18">
        <v>3.6664132036390447</v>
      </c>
      <c r="U19" s="18">
        <v>4.9288992271734777</v>
      </c>
      <c r="V19" s="18">
        <v>5.282166978041408</v>
      </c>
      <c r="W19" s="18">
        <v>5.2011213796959268</v>
      </c>
      <c r="X19" s="18">
        <v>4.9181779972066062</v>
      </c>
    </row>
    <row r="20" spans="1:24" s="14" customFormat="1" x14ac:dyDescent="0.2">
      <c r="A20" s="4" t="s">
        <v>6</v>
      </c>
      <c r="B20" s="6" t="s">
        <v>13</v>
      </c>
      <c r="C20" s="4" t="s">
        <v>48</v>
      </c>
      <c r="D20" s="99">
        <v>40</v>
      </c>
      <c r="E20" s="11">
        <v>140</v>
      </c>
      <c r="F20" s="12">
        <v>500</v>
      </c>
      <c r="G20" s="13">
        <v>3</v>
      </c>
      <c r="H20" s="18">
        <v>3.7199023186934861</v>
      </c>
      <c r="I20" s="18">
        <v>4.5262701486144437</v>
      </c>
      <c r="J20" s="18">
        <v>3.7730381203222407</v>
      </c>
      <c r="K20" s="18">
        <v>4.3376490283113069</v>
      </c>
      <c r="L20" s="18">
        <v>4.495279558641041</v>
      </c>
      <c r="M20" s="18">
        <v>5.7292024051943704</v>
      </c>
      <c r="N20" s="18">
        <v>5.9933594675958881</v>
      </c>
      <c r="O20" s="18">
        <v>2.5577274456126204</v>
      </c>
      <c r="P20" s="18">
        <v>4.9855609351475563</v>
      </c>
      <c r="Q20" s="18">
        <v>4.0098655379524883</v>
      </c>
      <c r="R20" s="18">
        <v>4.1733473669853289</v>
      </c>
      <c r="S20" s="18">
        <v>4.7473023806590238</v>
      </c>
      <c r="T20" s="18">
        <v>4.2516818250889488</v>
      </c>
      <c r="U20" s="18">
        <v>4.522247587687783</v>
      </c>
      <c r="V20" s="18">
        <v>5.1055388108174151</v>
      </c>
      <c r="W20" s="18">
        <v>4.6511696351255969</v>
      </c>
      <c r="X20" s="18">
        <v>4.7962047299110351</v>
      </c>
    </row>
    <row r="21" spans="1:24" s="14" customFormat="1" x14ac:dyDescent="0.2">
      <c r="A21" s="4" t="s">
        <v>6</v>
      </c>
      <c r="B21" s="6" t="s">
        <v>13</v>
      </c>
      <c r="C21" s="4" t="s">
        <v>48</v>
      </c>
      <c r="D21" s="99">
        <v>40</v>
      </c>
      <c r="E21" s="11">
        <v>240</v>
      </c>
      <c r="F21" s="12">
        <v>926</v>
      </c>
      <c r="G21" s="13">
        <v>6.5</v>
      </c>
      <c r="H21" s="18">
        <v>3.7558049085104535</v>
      </c>
      <c r="I21" s="18">
        <v>4.6461728099911399</v>
      </c>
      <c r="J21" s="18">
        <v>3.8352351163627403</v>
      </c>
      <c r="K21" s="18">
        <v>4.2678252687414799</v>
      </c>
      <c r="L21" s="18">
        <v>3.9675857261163889</v>
      </c>
      <c r="M21" s="18">
        <v>5.7283550600992186</v>
      </c>
      <c r="N21" s="18">
        <v>6.5138938905559458</v>
      </c>
      <c r="O21" s="18">
        <v>3.6840193361218798</v>
      </c>
      <c r="P21" s="18">
        <v>5.1742137976845113</v>
      </c>
      <c r="Q21" s="18">
        <v>4.6870057426161535</v>
      </c>
      <c r="R21" s="18">
        <v>3.5939885079604279</v>
      </c>
      <c r="S21" s="18">
        <v>4.0702223385083105</v>
      </c>
      <c r="T21" s="18">
        <v>4.1428576677241713</v>
      </c>
      <c r="U21" s="18">
        <v>4.6258614734507812</v>
      </c>
      <c r="V21" s="18">
        <v>5.1944905233843492</v>
      </c>
      <c r="W21" s="18">
        <v>4.799803317304101</v>
      </c>
      <c r="X21" s="18">
        <v>3.6856329600742761</v>
      </c>
    </row>
    <row r="22" spans="1:24" s="14" customFormat="1" x14ac:dyDescent="0.2">
      <c r="A22" s="4" t="s">
        <v>6</v>
      </c>
      <c r="B22" s="6" t="s">
        <v>13</v>
      </c>
      <c r="C22" s="4" t="s">
        <v>48</v>
      </c>
      <c r="D22" s="99">
        <v>40</v>
      </c>
      <c r="E22" s="11">
        <v>340</v>
      </c>
      <c r="F22" s="12">
        <v>3704</v>
      </c>
      <c r="G22" s="13">
        <v>13</v>
      </c>
      <c r="H22" s="18">
        <v>4.0153338560694563</v>
      </c>
      <c r="I22" s="18">
        <v>4.8243456482978102</v>
      </c>
      <c r="J22" s="18">
        <v>4.072606974736944</v>
      </c>
      <c r="K22" s="18">
        <v>4.4501317835548972</v>
      </c>
      <c r="L22" s="18">
        <v>4.1538526215735505</v>
      </c>
      <c r="M22" s="18">
        <v>3.6377708519641057</v>
      </c>
      <c r="N22" s="18">
        <v>6.1241535814371151</v>
      </c>
      <c r="O22" s="18">
        <v>4.2797262521248589</v>
      </c>
      <c r="P22" s="18">
        <v>5.3501123318806751</v>
      </c>
      <c r="Q22" s="18">
        <v>3.8607505125543957</v>
      </c>
      <c r="R22" s="18">
        <v>4.0745358031167891</v>
      </c>
      <c r="S22" s="18">
        <v>4.517431936969329</v>
      </c>
      <c r="T22" s="18">
        <v>4.3637284764672897</v>
      </c>
      <c r="U22" s="18">
        <v>4.519251876204093</v>
      </c>
      <c r="V22" s="18">
        <v>5.0641428208152366</v>
      </c>
      <c r="W22" s="18">
        <v>4.6479857589730162</v>
      </c>
      <c r="X22" s="18">
        <v>4.9998183669396541</v>
      </c>
    </row>
    <row r="23" spans="1:24" s="14" customFormat="1" x14ac:dyDescent="0.2">
      <c r="A23" s="4" t="s">
        <v>6</v>
      </c>
      <c r="B23" s="20" t="s">
        <v>49</v>
      </c>
      <c r="C23" s="20" t="s">
        <v>15</v>
      </c>
      <c r="D23" s="99">
        <v>47</v>
      </c>
      <c r="E23" s="11">
        <v>147</v>
      </c>
      <c r="F23" s="12">
        <v>500</v>
      </c>
      <c r="G23" s="13">
        <v>2</v>
      </c>
      <c r="H23" s="18">
        <v>4.678890943458148</v>
      </c>
      <c r="I23" s="18">
        <v>4.8320416637982246</v>
      </c>
      <c r="J23" s="18">
        <v>3.7569415370236423</v>
      </c>
      <c r="K23" s="18">
        <v>3.2080815649238299</v>
      </c>
      <c r="L23" s="18">
        <v>4.7607440875843965</v>
      </c>
      <c r="M23" s="18">
        <v>4.6576408283312327</v>
      </c>
      <c r="N23" s="18">
        <v>5.7726653458156276</v>
      </c>
      <c r="O23" s="18">
        <v>4.2578106624550376</v>
      </c>
      <c r="P23" s="18">
        <v>4.8972305357788732</v>
      </c>
      <c r="Q23" s="18">
        <v>3.5786615931214172</v>
      </c>
      <c r="R23" s="18">
        <v>2.8883774102748401</v>
      </c>
      <c r="S23" s="18">
        <v>3.9217136336513265</v>
      </c>
      <c r="T23" s="18">
        <v>4.2947893590370736</v>
      </c>
      <c r="U23" s="18">
        <v>4.1782891637327157</v>
      </c>
      <c r="V23" s="18">
        <v>5.0619584835364986</v>
      </c>
      <c r="W23" s="18">
        <v>4.3748091866661101</v>
      </c>
      <c r="X23" s="18">
        <v>4.4513417818425953</v>
      </c>
    </row>
    <row r="24" spans="1:24" s="14" customFormat="1" x14ac:dyDescent="0.2">
      <c r="A24" s="4" t="s">
        <v>6</v>
      </c>
      <c r="B24" s="20" t="s">
        <v>49</v>
      </c>
      <c r="C24" s="20" t="s">
        <v>15</v>
      </c>
      <c r="D24" s="99">
        <v>47</v>
      </c>
      <c r="E24" s="11">
        <v>247</v>
      </c>
      <c r="F24" s="12">
        <v>926</v>
      </c>
      <c r="G24" s="13">
        <v>4.5</v>
      </c>
      <c r="H24" s="18">
        <v>4.4252208085169551</v>
      </c>
      <c r="I24" s="18">
        <v>4.9118231511766206</v>
      </c>
      <c r="J24" s="18">
        <v>3.7006270773008976</v>
      </c>
      <c r="K24" s="18">
        <v>3.2713932888248571</v>
      </c>
      <c r="L24" s="18">
        <v>4.2448565295844221</v>
      </c>
      <c r="M24" s="18">
        <v>4.406082329951805</v>
      </c>
      <c r="N24" s="18">
        <v>5.7592417989949842</v>
      </c>
      <c r="O24" s="18">
        <v>3.7022505097202161</v>
      </c>
      <c r="P24" s="18">
        <v>4.7466697958881916</v>
      </c>
      <c r="Q24" s="18">
        <v>4.5358567844428865</v>
      </c>
      <c r="R24" s="18">
        <v>2.7501040977340958</v>
      </c>
      <c r="S24" s="18">
        <v>3.9578393262446943</v>
      </c>
      <c r="T24" s="18">
        <v>4.4394930447237204</v>
      </c>
      <c r="U24" s="18">
        <v>3.8795985062716394</v>
      </c>
      <c r="V24" s="18">
        <v>4.8446212777068176</v>
      </c>
      <c r="W24" s="18">
        <v>4.6137903147675488</v>
      </c>
      <c r="X24" s="18">
        <v>4.5182398566237492</v>
      </c>
    </row>
    <row r="25" spans="1:24" s="14" customFormat="1" x14ac:dyDescent="0.2">
      <c r="A25" s="4" t="s">
        <v>6</v>
      </c>
      <c r="B25" s="20" t="s">
        <v>49</v>
      </c>
      <c r="C25" s="20" t="s">
        <v>15</v>
      </c>
      <c r="D25" s="99">
        <v>47</v>
      </c>
      <c r="E25" s="11">
        <v>347</v>
      </c>
      <c r="F25" s="12">
        <v>3704</v>
      </c>
      <c r="G25" s="13">
        <v>9</v>
      </c>
      <c r="H25" s="18">
        <v>4.5515318731973</v>
      </c>
      <c r="I25" s="18">
        <v>5.1296528227996543</v>
      </c>
      <c r="J25" s="18">
        <v>4.7335316349728949</v>
      </c>
      <c r="K25" s="18">
        <v>2.2676220587535938</v>
      </c>
      <c r="L25" s="18">
        <v>4.8394492578199673</v>
      </c>
      <c r="M25" s="18">
        <v>5.4611823115079474</v>
      </c>
      <c r="N25" s="18">
        <v>5.3806960523701042</v>
      </c>
      <c r="O25" s="18">
        <v>3.1755712139232113</v>
      </c>
      <c r="P25" s="18">
        <v>4.7266124722401468</v>
      </c>
      <c r="Q25" s="18">
        <v>4.3381969358031682</v>
      </c>
      <c r="R25" s="18">
        <v>2.9099107423240911</v>
      </c>
      <c r="S25" s="18">
        <v>3.6327938043161767</v>
      </c>
      <c r="T25" s="18">
        <v>4.5842876460001243</v>
      </c>
      <c r="U25" s="18">
        <v>3.8425075905255852</v>
      </c>
      <c r="V25" s="18">
        <v>4.8449414110673867</v>
      </c>
      <c r="W25" s="18">
        <v>4.894497743028551</v>
      </c>
      <c r="X25" s="18">
        <v>4.5404389090996808</v>
      </c>
    </row>
    <row r="26" spans="1:24" s="14" customFormat="1" x14ac:dyDescent="0.2">
      <c r="A26" s="4" t="s">
        <v>6</v>
      </c>
      <c r="B26" s="14" t="s">
        <v>50</v>
      </c>
      <c r="C26" s="14" t="s">
        <v>51</v>
      </c>
      <c r="D26" s="99">
        <v>53</v>
      </c>
      <c r="E26" s="11">
        <v>153</v>
      </c>
      <c r="F26" s="12">
        <v>500</v>
      </c>
      <c r="G26" s="13">
        <v>5</v>
      </c>
      <c r="H26" s="18">
        <v>4.2049161037744138</v>
      </c>
      <c r="I26" s="18">
        <v>5.1565757570456983</v>
      </c>
      <c r="J26" s="18">
        <v>3.9764805419368807</v>
      </c>
      <c r="K26" s="18">
        <v>4.5933504890476993</v>
      </c>
      <c r="L26" s="18">
        <v>4.8870446537536916</v>
      </c>
      <c r="M26" s="18">
        <v>4.8687123973822919</v>
      </c>
      <c r="N26" s="18">
        <v>4.7735514672884438</v>
      </c>
      <c r="O26" s="18">
        <v>4.0039466597426072</v>
      </c>
      <c r="P26" s="18">
        <v>4.5857511604022738</v>
      </c>
      <c r="Q26" s="18">
        <v>4.1627901173921122</v>
      </c>
      <c r="R26" s="18">
        <v>2.9515330046147463</v>
      </c>
      <c r="S26" s="18">
        <v>4.4496913523085437</v>
      </c>
      <c r="T26" s="18">
        <v>4.7364074755034657</v>
      </c>
      <c r="U26" s="18">
        <v>4.8883247921799517</v>
      </c>
      <c r="V26" s="18">
        <v>4.5316103763609563</v>
      </c>
      <c r="W26" s="18">
        <v>5.1688841316837877</v>
      </c>
      <c r="X26" s="18">
        <v>4.3980609143732599</v>
      </c>
    </row>
    <row r="27" spans="1:24" s="14" customFormat="1" x14ac:dyDescent="0.2">
      <c r="A27" s="4" t="s">
        <v>6</v>
      </c>
      <c r="B27" s="14" t="s">
        <v>50</v>
      </c>
      <c r="C27" s="14" t="s">
        <v>51</v>
      </c>
      <c r="D27" s="99">
        <v>53</v>
      </c>
      <c r="E27" s="11">
        <v>253</v>
      </c>
      <c r="F27" s="12">
        <v>926</v>
      </c>
      <c r="G27" s="13">
        <v>6</v>
      </c>
      <c r="H27" s="18">
        <v>3.8153709628392152</v>
      </c>
      <c r="I27" s="18">
        <v>5.0878742873351852</v>
      </c>
      <c r="J27" s="18">
        <v>4.2612691535661495</v>
      </c>
      <c r="K27" s="18">
        <v>3.56424040651188</v>
      </c>
      <c r="L27" s="18">
        <v>4.4790240989008403</v>
      </c>
      <c r="M27" s="18">
        <v>5.0423942764783289</v>
      </c>
      <c r="N27" s="18">
        <v>5.4582246561024785</v>
      </c>
      <c r="O27" s="18">
        <v>3.4895021611087085</v>
      </c>
      <c r="P27" s="18">
        <v>4.6138183823645065</v>
      </c>
      <c r="Q27" s="18">
        <v>3.965812131535754</v>
      </c>
      <c r="R27" s="18">
        <v>4.6623622267051639</v>
      </c>
      <c r="S27" s="18">
        <v>3.9116728250899575</v>
      </c>
      <c r="T27" s="18">
        <v>4.2778831657625638</v>
      </c>
      <c r="U27" s="18">
        <v>3.6775527085853619</v>
      </c>
      <c r="V27" s="18">
        <v>4.4017389993709202</v>
      </c>
      <c r="W27" s="18">
        <v>4.926768509134571</v>
      </c>
      <c r="X27" s="18">
        <v>3.5974802405570672</v>
      </c>
    </row>
    <row r="28" spans="1:24" s="14" customFormat="1" x14ac:dyDescent="0.2">
      <c r="A28" s="4" t="s">
        <v>6</v>
      </c>
      <c r="B28" s="14" t="s">
        <v>50</v>
      </c>
      <c r="C28" s="14" t="s">
        <v>51</v>
      </c>
      <c r="D28" s="99">
        <v>53</v>
      </c>
      <c r="E28" s="11">
        <v>353</v>
      </c>
      <c r="F28" s="12">
        <v>3704</v>
      </c>
      <c r="G28" s="13">
        <v>12</v>
      </c>
      <c r="H28" s="18">
        <v>4.0814613896933851</v>
      </c>
      <c r="I28" s="18">
        <v>5.1512715822893869</v>
      </c>
      <c r="J28" s="18">
        <v>3.6814880822031877</v>
      </c>
      <c r="K28" s="18">
        <v>3.3143261903222028</v>
      </c>
      <c r="L28" s="18">
        <v>3.9844434929928094</v>
      </c>
      <c r="M28" s="18">
        <v>4.6437122296127722</v>
      </c>
      <c r="N28" s="18">
        <v>5.1210921436136729</v>
      </c>
      <c r="O28" s="18">
        <v>4.1318901784232702</v>
      </c>
      <c r="P28" s="18">
        <v>4.8039697577831886</v>
      </c>
      <c r="Q28" s="18">
        <v>2.9122238111243455</v>
      </c>
      <c r="R28" s="18">
        <v>3.212572956417052</v>
      </c>
      <c r="S28" s="18">
        <v>4.0129266755794664</v>
      </c>
      <c r="T28" s="18">
        <v>4.6512837344712592</v>
      </c>
      <c r="U28" s="18">
        <v>3.4783034217374915</v>
      </c>
      <c r="V28" s="18">
        <v>2.0834903858271203</v>
      </c>
      <c r="W28" s="18">
        <v>4.8709803063361248</v>
      </c>
      <c r="X28" s="18">
        <v>4.4828642695144563</v>
      </c>
    </row>
    <row r="29" spans="1:24" s="14" customFormat="1" x14ac:dyDescent="0.2">
      <c r="A29" s="4" t="s">
        <v>6</v>
      </c>
      <c r="B29" s="14" t="s">
        <v>49</v>
      </c>
      <c r="C29" s="14" t="s">
        <v>52</v>
      </c>
      <c r="D29" s="99">
        <v>56</v>
      </c>
      <c r="E29" s="11">
        <v>156</v>
      </c>
      <c r="F29" s="12">
        <v>500</v>
      </c>
      <c r="G29" s="13">
        <v>2.5</v>
      </c>
      <c r="H29" s="18">
        <v>4.6287352992130533</v>
      </c>
      <c r="I29" s="18">
        <v>5.0643496006931432</v>
      </c>
      <c r="J29" s="18">
        <v>4.1251819806583923</v>
      </c>
      <c r="K29" s="18">
        <v>4.4571922855046404</v>
      </c>
      <c r="L29" s="18">
        <v>5.0699911960690986</v>
      </c>
      <c r="M29" s="18">
        <v>4.5018844488145966</v>
      </c>
      <c r="N29" s="18">
        <v>4.4720590409876628</v>
      </c>
      <c r="O29" s="18">
        <v>3.8883017175199437</v>
      </c>
      <c r="P29" s="18">
        <v>4.1408609888294485</v>
      </c>
      <c r="Q29" s="18">
        <v>4.3948997587198955</v>
      </c>
      <c r="R29" s="18">
        <v>2.3089400661386845</v>
      </c>
      <c r="S29" s="18">
        <v>3.9630497490159939</v>
      </c>
      <c r="T29" s="18">
        <v>4.6911056818715737</v>
      </c>
      <c r="U29" s="18">
        <v>3.7103214263106641</v>
      </c>
      <c r="V29" s="18">
        <v>5.1116510055146422</v>
      </c>
      <c r="W29" s="18">
        <v>5.1319142188197073</v>
      </c>
      <c r="X29" s="18">
        <v>4.3332723622280689</v>
      </c>
    </row>
    <row r="30" spans="1:24" s="14" customFormat="1" x14ac:dyDescent="0.2">
      <c r="A30" s="4" t="s">
        <v>6</v>
      </c>
      <c r="B30" s="14" t="s">
        <v>49</v>
      </c>
      <c r="C30" s="14" t="s">
        <v>52</v>
      </c>
      <c r="D30" s="99">
        <v>56</v>
      </c>
      <c r="E30" s="11">
        <v>256</v>
      </c>
      <c r="F30" s="12">
        <v>926</v>
      </c>
      <c r="G30" s="13">
        <v>5</v>
      </c>
      <c r="H30" s="18">
        <v>4.4926400619319002</v>
      </c>
      <c r="I30" s="18">
        <v>5.2815754985755667</v>
      </c>
      <c r="J30" s="18">
        <v>4.1486248774806551</v>
      </c>
      <c r="K30" s="18">
        <v>4.5880691830851061</v>
      </c>
      <c r="L30" s="18">
        <v>4.8826006651907941</v>
      </c>
      <c r="M30" s="18">
        <v>5.1196986348522247</v>
      </c>
      <c r="N30" s="18">
        <v>4.6990508255158465</v>
      </c>
      <c r="O30" s="18">
        <v>3.9449855399090383</v>
      </c>
      <c r="P30" s="18">
        <v>4.5580702839896547</v>
      </c>
      <c r="Q30" s="18">
        <v>3.4250934166442657</v>
      </c>
      <c r="R30" s="18">
        <v>3.0654189495395454</v>
      </c>
      <c r="S30" s="18">
        <v>3.9370886233938647</v>
      </c>
      <c r="T30" s="18">
        <v>4.338837720208093</v>
      </c>
      <c r="U30" s="18">
        <v>2.4645553959441755</v>
      </c>
      <c r="V30" s="18">
        <v>4.9930762499639441</v>
      </c>
      <c r="W30" s="18">
        <v>4.7515873980011651</v>
      </c>
      <c r="X30" s="18">
        <v>4.2182881944033745</v>
      </c>
    </row>
    <row r="31" spans="1:24" s="14" customFormat="1" x14ac:dyDescent="0.2">
      <c r="A31" s="4" t="s">
        <v>6</v>
      </c>
      <c r="B31" s="14" t="s">
        <v>49</v>
      </c>
      <c r="C31" s="14" t="s">
        <v>52</v>
      </c>
      <c r="D31" s="99">
        <v>56</v>
      </c>
      <c r="E31" s="11">
        <v>356</v>
      </c>
      <c r="F31" s="12">
        <v>3704</v>
      </c>
      <c r="G31" s="13">
        <v>16</v>
      </c>
      <c r="H31" s="18">
        <v>4.717338293061391</v>
      </c>
      <c r="I31" s="18">
        <v>5.2232507647012341</v>
      </c>
      <c r="J31" s="18">
        <v>4.6740762060914056</v>
      </c>
      <c r="K31" s="18">
        <v>5.6331749403038298</v>
      </c>
      <c r="L31" s="18">
        <v>4.3593632631865802</v>
      </c>
      <c r="M31" s="18">
        <v>4.528596918324328</v>
      </c>
      <c r="N31" s="18">
        <v>4.5508986866219665</v>
      </c>
      <c r="O31" s="18">
        <v>3.3181426103757876</v>
      </c>
      <c r="P31" s="18">
        <v>4.292300774022249</v>
      </c>
      <c r="Q31" s="18">
        <v>2.9122074491106478</v>
      </c>
      <c r="R31" s="18">
        <v>3.3005344204848632</v>
      </c>
      <c r="S31" s="18">
        <v>3.6842644918440781</v>
      </c>
      <c r="T31" s="18">
        <v>4.7146107896220748</v>
      </c>
      <c r="U31" s="18">
        <v>4.727135114127945</v>
      </c>
      <c r="V31" s="18">
        <v>5.3407180603534696</v>
      </c>
      <c r="W31" s="18">
        <v>5.3980717306677315</v>
      </c>
      <c r="X31" s="18">
        <v>4.7403749520672704</v>
      </c>
    </row>
    <row r="32" spans="1:24" s="14" customFormat="1" x14ac:dyDescent="0.2">
      <c r="A32" s="4" t="s">
        <v>6</v>
      </c>
      <c r="B32" s="14" t="s">
        <v>16</v>
      </c>
      <c r="C32" s="14" t="s">
        <v>17</v>
      </c>
      <c r="D32" s="99">
        <v>59</v>
      </c>
      <c r="E32" s="11">
        <v>159</v>
      </c>
      <c r="F32" s="12">
        <v>500</v>
      </c>
      <c r="G32" s="13">
        <v>2.5</v>
      </c>
      <c r="H32" s="18">
        <v>5.2670531068738313</v>
      </c>
      <c r="I32" s="18">
        <v>5.696757728547297</v>
      </c>
      <c r="J32" s="18">
        <v>4.0830531785987958</v>
      </c>
      <c r="K32" s="18">
        <v>5.6205647607805371</v>
      </c>
      <c r="L32" s="18">
        <v>4.0989504972966762</v>
      </c>
      <c r="M32" s="18">
        <v>5.6118814484840476</v>
      </c>
      <c r="N32" s="18">
        <v>5.0816655885908428</v>
      </c>
      <c r="O32" s="18">
        <v>4.2536909685032009</v>
      </c>
      <c r="P32" s="18">
        <v>5.0675456859086978</v>
      </c>
      <c r="Q32" s="18">
        <v>5.8477577578928868</v>
      </c>
      <c r="R32" s="18">
        <v>5.0106410663484624</v>
      </c>
      <c r="S32" s="18">
        <v>4.3670707928883639</v>
      </c>
      <c r="T32" s="18">
        <v>4.5600037801040063</v>
      </c>
      <c r="U32" s="18">
        <v>5.3586619616354785</v>
      </c>
      <c r="V32" s="18">
        <v>5.3307053080287083</v>
      </c>
      <c r="W32" s="18">
        <v>5.4369127492977229</v>
      </c>
      <c r="X32" s="18">
        <v>4.9562307800651935</v>
      </c>
    </row>
    <row r="33" spans="1:24" s="14" customFormat="1" x14ac:dyDescent="0.2">
      <c r="A33" s="4" t="s">
        <v>6</v>
      </c>
      <c r="B33" s="14" t="s">
        <v>16</v>
      </c>
      <c r="C33" s="14" t="s">
        <v>17</v>
      </c>
      <c r="D33" s="99">
        <v>59</v>
      </c>
      <c r="E33" s="11">
        <v>259</v>
      </c>
      <c r="F33" s="12">
        <v>926</v>
      </c>
      <c r="G33" s="13">
        <v>5</v>
      </c>
      <c r="H33" s="18">
        <v>4.9534086695724895</v>
      </c>
      <c r="I33" s="18">
        <v>5.7013753906433218</v>
      </c>
      <c r="J33" s="18">
        <v>3.6633774413157689</v>
      </c>
      <c r="K33" s="18">
        <v>5.4374203317913521</v>
      </c>
      <c r="L33" s="18">
        <v>4.7692044118211525</v>
      </c>
      <c r="M33" s="18">
        <v>5.5403030764323793</v>
      </c>
      <c r="N33" s="18">
        <v>5.4645374265384996</v>
      </c>
      <c r="O33" s="18">
        <v>4.1157774600821195</v>
      </c>
      <c r="P33" s="18">
        <v>4.8139429891237642</v>
      </c>
      <c r="Q33" s="18">
        <v>6.090276602522656</v>
      </c>
      <c r="R33" s="18">
        <v>5.5996222692508715</v>
      </c>
      <c r="S33" s="18">
        <v>4.0373603320233844</v>
      </c>
      <c r="T33" s="18">
        <v>4.2757388476703291</v>
      </c>
      <c r="U33" s="18">
        <v>5.1829510026854599</v>
      </c>
      <c r="V33" s="18">
        <v>5.1236183318506825</v>
      </c>
      <c r="W33" s="18">
        <v>5.3825855635666136</v>
      </c>
      <c r="X33" s="18">
        <v>5.1104312040245903</v>
      </c>
    </row>
    <row r="34" spans="1:24" s="14" customFormat="1" x14ac:dyDescent="0.2">
      <c r="A34" s="4" t="s">
        <v>6</v>
      </c>
      <c r="B34" s="14" t="s">
        <v>16</v>
      </c>
      <c r="C34" s="14" t="s">
        <v>17</v>
      </c>
      <c r="D34" s="99">
        <v>59</v>
      </c>
      <c r="E34" s="11">
        <v>359</v>
      </c>
      <c r="F34" s="12">
        <v>3704</v>
      </c>
      <c r="G34" s="13">
        <v>16</v>
      </c>
      <c r="H34" s="18">
        <v>5.7175290051921204</v>
      </c>
      <c r="I34" s="18">
        <v>5.597504543414705</v>
      </c>
      <c r="J34" s="18">
        <v>4.6692099162723597</v>
      </c>
      <c r="K34" s="18">
        <v>5.9265813594032872</v>
      </c>
      <c r="L34" s="18">
        <v>5.0478181581667378</v>
      </c>
      <c r="M34" s="18">
        <v>6.2298159352890643</v>
      </c>
      <c r="N34" s="18">
        <v>4.4086229635685452</v>
      </c>
      <c r="O34" s="18">
        <v>3.19847592215898</v>
      </c>
      <c r="P34" s="18">
        <v>4.1973595564753277</v>
      </c>
      <c r="Q34" s="18">
        <v>4.4906127856263574</v>
      </c>
      <c r="R34" s="18">
        <v>4.982196847907872</v>
      </c>
      <c r="S34" s="18">
        <v>4.1605137418576339</v>
      </c>
      <c r="T34" s="18">
        <v>4.5960418692067275</v>
      </c>
      <c r="U34" s="18">
        <v>5.3546238042236354</v>
      </c>
      <c r="V34" s="18">
        <v>6.1113327236453969</v>
      </c>
      <c r="W34" s="18">
        <v>6.0235059884649802</v>
      </c>
      <c r="X34" s="18">
        <v>4.9748147464654489</v>
      </c>
    </row>
    <row r="35" spans="1:24" s="14" customFormat="1" x14ac:dyDescent="0.2">
      <c r="A35" s="4" t="s">
        <v>6</v>
      </c>
      <c r="B35" s="14" t="s">
        <v>16</v>
      </c>
      <c r="C35" s="14" t="s">
        <v>18</v>
      </c>
      <c r="D35" s="99">
        <v>62</v>
      </c>
      <c r="E35" s="11">
        <v>162</v>
      </c>
      <c r="F35" s="12">
        <v>500</v>
      </c>
      <c r="G35" s="13">
        <v>2.5</v>
      </c>
      <c r="H35" s="18">
        <v>5.1324884137155973</v>
      </c>
      <c r="I35" s="18">
        <v>5.9191739231822087</v>
      </c>
      <c r="J35" s="18">
        <v>5.7280437707925556</v>
      </c>
      <c r="K35" s="18">
        <v>6.3791012841001802</v>
      </c>
      <c r="L35" s="18">
        <v>5.9281868682064731</v>
      </c>
      <c r="M35" s="18">
        <v>5.9975940737102373</v>
      </c>
      <c r="N35" s="18">
        <v>6.0616170471866964</v>
      </c>
      <c r="O35" s="18">
        <v>3.9750703458250181</v>
      </c>
      <c r="P35" s="18">
        <v>6.8708319632811454</v>
      </c>
      <c r="Q35" s="18">
        <v>6.7619200890347733</v>
      </c>
      <c r="R35" s="18">
        <v>7.2388685958254513</v>
      </c>
      <c r="S35" s="18">
        <v>4.626617852099363</v>
      </c>
      <c r="T35" s="18">
        <v>4.6464092579731755</v>
      </c>
      <c r="U35" s="18">
        <v>6.1198385660835664</v>
      </c>
      <c r="V35" s="18">
        <v>5.5550898496557251</v>
      </c>
      <c r="W35" s="18">
        <v>5.3295733246282113</v>
      </c>
      <c r="X35" s="18">
        <v>5.3526340313259766</v>
      </c>
    </row>
    <row r="36" spans="1:24" s="14" customFormat="1" x14ac:dyDescent="0.2">
      <c r="A36" s="4" t="s">
        <v>6</v>
      </c>
      <c r="B36" s="14" t="s">
        <v>16</v>
      </c>
      <c r="C36" s="14" t="s">
        <v>18</v>
      </c>
      <c r="D36" s="99">
        <v>62</v>
      </c>
      <c r="E36" s="11">
        <v>262</v>
      </c>
      <c r="F36" s="12">
        <v>926</v>
      </c>
      <c r="G36" s="13">
        <v>5</v>
      </c>
      <c r="H36" s="18">
        <v>5.2621172993665928</v>
      </c>
      <c r="I36" s="18">
        <v>5.8057104991722461</v>
      </c>
      <c r="J36" s="18">
        <v>5.6206360591195219</v>
      </c>
      <c r="K36" s="18">
        <v>6.5334226143404655</v>
      </c>
      <c r="L36" s="18">
        <v>6.0334968298623535</v>
      </c>
      <c r="M36" s="18">
        <v>5.8212235982039386</v>
      </c>
      <c r="N36" s="18">
        <v>5.7976332085570359</v>
      </c>
      <c r="O36" s="18">
        <v>4.4731336579789041</v>
      </c>
      <c r="P36" s="18">
        <v>5.9766852000855639</v>
      </c>
      <c r="Q36" s="18">
        <v>6.6640634927637628</v>
      </c>
      <c r="R36" s="18">
        <v>6.845870384742363</v>
      </c>
      <c r="S36" s="18">
        <v>4.5298695669594871</v>
      </c>
      <c r="T36" s="18">
        <v>4.5707698815316302</v>
      </c>
      <c r="U36" s="18">
        <v>4.9769597266468093</v>
      </c>
      <c r="V36" s="18">
        <v>6.2532460913292001</v>
      </c>
      <c r="W36" s="18">
        <v>5.8647507999272603</v>
      </c>
      <c r="X36" s="18">
        <v>5.9539414830515573</v>
      </c>
    </row>
    <row r="37" spans="1:24" s="14" customFormat="1" x14ac:dyDescent="0.2">
      <c r="A37" s="4" t="s">
        <v>6</v>
      </c>
      <c r="B37" s="14" t="s">
        <v>16</v>
      </c>
      <c r="C37" s="14" t="s">
        <v>18</v>
      </c>
      <c r="D37" s="99">
        <v>62</v>
      </c>
      <c r="E37" s="11">
        <v>362</v>
      </c>
      <c r="F37" s="12">
        <v>3704</v>
      </c>
      <c r="G37" s="13">
        <v>17</v>
      </c>
      <c r="H37" s="18">
        <v>5.373654539329161</v>
      </c>
      <c r="I37" s="18">
        <v>5.8978458186223426</v>
      </c>
      <c r="J37" s="18">
        <v>5.8798925847426782</v>
      </c>
      <c r="K37" s="18">
        <v>5.4116191559505786</v>
      </c>
      <c r="L37" s="18">
        <v>5.6402196849167421</v>
      </c>
      <c r="M37" s="18">
        <v>5.568752662555605</v>
      </c>
      <c r="N37" s="18">
        <v>6.4544590761281526</v>
      </c>
      <c r="O37" s="18">
        <v>5.1835836974108176</v>
      </c>
      <c r="P37" s="18">
        <v>4.3194903751733271</v>
      </c>
      <c r="Q37" s="18">
        <v>6.1964052664198572</v>
      </c>
      <c r="R37" s="18">
        <v>5.0681138362970133</v>
      </c>
      <c r="S37" s="18">
        <v>5.3240154365224539</v>
      </c>
      <c r="T37" s="18">
        <v>4.7819822201799536</v>
      </c>
      <c r="U37" s="18">
        <v>5.3148208507006345</v>
      </c>
      <c r="V37" s="18">
        <v>6.0583176237687377</v>
      </c>
      <c r="W37" s="18">
        <v>5.873956573111287</v>
      </c>
      <c r="X37" s="18">
        <v>5.9057058394724811</v>
      </c>
    </row>
    <row r="38" spans="1:24" s="14" customFormat="1" x14ac:dyDescent="0.2">
      <c r="A38" s="4" t="s">
        <v>6</v>
      </c>
      <c r="B38" s="14" t="s">
        <v>16</v>
      </c>
      <c r="C38" s="14" t="s">
        <v>53</v>
      </c>
      <c r="D38" s="99">
        <v>64</v>
      </c>
      <c r="E38" s="11">
        <v>164</v>
      </c>
      <c r="F38" s="12">
        <v>500</v>
      </c>
      <c r="G38" s="13">
        <v>2.5</v>
      </c>
      <c r="H38" s="18">
        <v>4.8781755350976477</v>
      </c>
      <c r="I38" s="18">
        <v>5.9864694271158321</v>
      </c>
      <c r="J38" s="18">
        <v>5.8209649811909223</v>
      </c>
      <c r="K38" s="18">
        <v>5.035385024859119</v>
      </c>
      <c r="L38" s="18">
        <v>5.4357777279213826</v>
      </c>
      <c r="M38" s="18">
        <v>5.4579195935927673</v>
      </c>
      <c r="N38" s="18">
        <v>6.2040199707372974</v>
      </c>
      <c r="O38" s="18">
        <v>5.4538838247078605</v>
      </c>
      <c r="P38" s="18">
        <v>6.8317414439632831</v>
      </c>
      <c r="Q38" s="18">
        <v>6.2665411658181522</v>
      </c>
      <c r="R38" s="18">
        <v>7.2968372320718151</v>
      </c>
      <c r="S38" s="18">
        <v>6.071856838779949</v>
      </c>
      <c r="T38" s="18">
        <v>5.2496246686170931</v>
      </c>
      <c r="U38" s="18">
        <v>4.9977923470390193</v>
      </c>
      <c r="V38" s="18">
        <v>6.10072379199356</v>
      </c>
      <c r="W38" s="18">
        <v>6.2063043038971593</v>
      </c>
      <c r="X38" s="18">
        <v>5.6324727839065236</v>
      </c>
    </row>
    <row r="39" spans="1:24" s="14" customFormat="1" x14ac:dyDescent="0.2">
      <c r="A39" s="4" t="s">
        <v>6</v>
      </c>
      <c r="B39" s="14" t="s">
        <v>16</v>
      </c>
      <c r="C39" s="14" t="s">
        <v>53</v>
      </c>
      <c r="D39" s="99">
        <v>64</v>
      </c>
      <c r="E39" s="11">
        <v>264</v>
      </c>
      <c r="F39" s="12">
        <v>926</v>
      </c>
      <c r="G39" s="13">
        <v>9.5</v>
      </c>
      <c r="H39" s="18">
        <v>4.8234387687292744</v>
      </c>
      <c r="I39" s="18">
        <v>5.9528827195016554</v>
      </c>
      <c r="J39" s="18">
        <v>4.9304815136857378</v>
      </c>
      <c r="K39" s="18">
        <v>5.7946555583675643</v>
      </c>
      <c r="L39" s="18">
        <v>5.1732367731270026</v>
      </c>
      <c r="M39" s="18">
        <v>5.5951733464505207</v>
      </c>
      <c r="N39" s="18">
        <v>5.7250398795874355</v>
      </c>
      <c r="O39" s="18">
        <v>5.7898945247960087</v>
      </c>
      <c r="P39" s="18">
        <v>6.487866482820686</v>
      </c>
      <c r="Q39" s="18">
        <v>6.4167436849050556</v>
      </c>
      <c r="R39" s="18">
        <v>7.1409810566309808</v>
      </c>
      <c r="S39" s="18">
        <v>5.5304185360284404</v>
      </c>
      <c r="T39" s="18">
        <v>5.0538525320926997</v>
      </c>
      <c r="U39" s="18">
        <v>4.0278520917319289</v>
      </c>
      <c r="V39" s="18">
        <v>5.866446988433859</v>
      </c>
      <c r="W39" s="18">
        <v>5.8782487274772235</v>
      </c>
      <c r="X39" s="18">
        <v>5.7071564091711542</v>
      </c>
    </row>
    <row r="40" spans="1:24" s="14" customFormat="1" x14ac:dyDescent="0.2">
      <c r="A40" s="4" t="s">
        <v>6</v>
      </c>
      <c r="B40" s="14" t="s">
        <v>16</v>
      </c>
      <c r="C40" s="14" t="s">
        <v>53</v>
      </c>
      <c r="D40" s="99">
        <v>64</v>
      </c>
      <c r="E40" s="11">
        <v>364</v>
      </c>
      <c r="F40" s="12">
        <v>3704</v>
      </c>
      <c r="G40" s="13">
        <v>19</v>
      </c>
      <c r="H40" s="18">
        <v>5.2606008551531609</v>
      </c>
      <c r="I40" s="18">
        <v>5.5221298091028839</v>
      </c>
      <c r="J40" s="18">
        <v>4.7057034308310239</v>
      </c>
      <c r="K40" s="18">
        <v>6.3285459982062688</v>
      </c>
      <c r="L40" s="18">
        <v>5.5746059733081852</v>
      </c>
      <c r="M40" s="18">
        <v>5.7829438317121893</v>
      </c>
      <c r="N40" s="18">
        <v>5.7979508216506206</v>
      </c>
      <c r="O40" s="18">
        <v>5.6043515750434016</v>
      </c>
      <c r="P40" s="18">
        <v>6.9204958525565337</v>
      </c>
      <c r="Q40" s="18">
        <v>6.2655952420095495</v>
      </c>
      <c r="R40" s="18">
        <v>3.0767663211702612</v>
      </c>
      <c r="S40" s="18">
        <v>5.6656327366461516</v>
      </c>
      <c r="T40" s="18">
        <v>5.3165477895517785</v>
      </c>
      <c r="U40" s="18">
        <v>5.6029605098119273</v>
      </c>
      <c r="V40" s="18">
        <v>5.8828526842595945</v>
      </c>
      <c r="W40" s="18">
        <v>5.7782514980851056</v>
      </c>
      <c r="X40" s="18">
        <v>5.5858453312093506</v>
      </c>
    </row>
    <row r="41" spans="1:24" s="14" customFormat="1" x14ac:dyDescent="0.2">
      <c r="A41" s="4" t="s">
        <v>19</v>
      </c>
      <c r="B41" s="14" t="s">
        <v>20</v>
      </c>
      <c r="C41" s="14" t="s">
        <v>21</v>
      </c>
      <c r="D41" s="99">
        <v>68</v>
      </c>
      <c r="E41" s="11">
        <v>168</v>
      </c>
      <c r="F41" s="12">
        <v>500</v>
      </c>
      <c r="G41" s="13">
        <v>2.5</v>
      </c>
      <c r="H41" s="18">
        <v>4.9949518062633267</v>
      </c>
      <c r="I41" s="18">
        <v>5.876899762081174</v>
      </c>
      <c r="J41" s="18">
        <v>4.9618851837062063</v>
      </c>
      <c r="K41" s="18">
        <v>4.263637783183662</v>
      </c>
      <c r="L41" s="18">
        <v>5.4679499059814667</v>
      </c>
      <c r="M41" s="18">
        <v>6.2772837416742311</v>
      </c>
      <c r="N41" s="18">
        <v>6.113285033096969</v>
      </c>
      <c r="O41" s="18">
        <v>4.6541713296572285</v>
      </c>
      <c r="P41" s="18">
        <v>6.8531337772699681</v>
      </c>
      <c r="Q41" s="18">
        <v>6.0124527855051664</v>
      </c>
      <c r="R41" s="18">
        <v>6.9900402350792081</v>
      </c>
      <c r="S41" s="18">
        <v>4.8787496288176966</v>
      </c>
      <c r="T41" s="18">
        <v>5.2204665993708641</v>
      </c>
      <c r="U41" s="18">
        <v>5.5363795344105613</v>
      </c>
      <c r="V41" s="18">
        <v>6.5500372376383167</v>
      </c>
      <c r="W41" s="18">
        <v>6.1107275043897422</v>
      </c>
      <c r="X41" s="18">
        <v>5.0872196418020534</v>
      </c>
    </row>
    <row r="42" spans="1:24" s="14" customFormat="1" x14ac:dyDescent="0.2">
      <c r="A42" s="4" t="s">
        <v>19</v>
      </c>
      <c r="B42" s="14" t="s">
        <v>20</v>
      </c>
      <c r="C42" s="14" t="s">
        <v>21</v>
      </c>
      <c r="D42" s="99">
        <v>68</v>
      </c>
      <c r="E42" s="11">
        <v>268</v>
      </c>
      <c r="F42" s="12">
        <v>926</v>
      </c>
      <c r="G42" s="13">
        <v>8.5</v>
      </c>
      <c r="H42" s="18">
        <v>4.7917826712825775</v>
      </c>
      <c r="I42" s="18">
        <v>6.0050063813721497</v>
      </c>
      <c r="J42" s="18">
        <v>5.0904319412116186</v>
      </c>
      <c r="K42" s="18">
        <v>5.8423670722960415</v>
      </c>
      <c r="L42" s="18">
        <v>5.4990365520754692</v>
      </c>
      <c r="M42" s="18">
        <v>6.2592656014862875</v>
      </c>
      <c r="N42" s="18">
        <v>6.1891883757845756</v>
      </c>
      <c r="O42" s="18">
        <v>3.842197388702798</v>
      </c>
      <c r="P42" s="18">
        <v>6.3291776590504645</v>
      </c>
      <c r="Q42" s="18">
        <v>6.0722436740305286</v>
      </c>
      <c r="R42" s="18">
        <v>7.0393038398275332</v>
      </c>
      <c r="S42" s="18">
        <v>4.9006538972751033</v>
      </c>
      <c r="T42" s="18">
        <v>5.067917620356063</v>
      </c>
      <c r="U42" s="18">
        <v>6.7007529181160992</v>
      </c>
      <c r="V42" s="18">
        <v>6.6348459416069057</v>
      </c>
      <c r="W42" s="18">
        <v>5.9458221116718182</v>
      </c>
      <c r="X42" s="18">
        <v>4.8002849581477314</v>
      </c>
    </row>
    <row r="43" spans="1:24" s="14" customFormat="1" x14ac:dyDescent="0.2">
      <c r="A43" s="4" t="s">
        <v>19</v>
      </c>
      <c r="B43" s="14" t="s">
        <v>20</v>
      </c>
      <c r="C43" s="14" t="s">
        <v>21</v>
      </c>
      <c r="D43" s="99">
        <v>68</v>
      </c>
      <c r="E43" s="11">
        <v>368</v>
      </c>
      <c r="F43" s="12">
        <v>3704</v>
      </c>
      <c r="G43" s="13">
        <v>16.5</v>
      </c>
      <c r="H43" s="18">
        <v>5.0939156535916199</v>
      </c>
      <c r="I43" s="18">
        <v>5.2578669801824187</v>
      </c>
      <c r="J43" s="18">
        <v>5.2517708442631799</v>
      </c>
      <c r="K43" s="18">
        <v>6.1797433206375123</v>
      </c>
      <c r="L43" s="18">
        <v>5.3569362463024337</v>
      </c>
      <c r="M43" s="18">
        <v>6.1769513119928945</v>
      </c>
      <c r="N43" s="18">
        <v>6.5647089369873388</v>
      </c>
      <c r="O43" s="18">
        <v>4.6836201732913647</v>
      </c>
      <c r="P43" s="18">
        <v>6.5435660743131558</v>
      </c>
      <c r="Q43" s="18">
        <v>5.9288653165276024</v>
      </c>
      <c r="R43" s="18">
        <v>3.6959601534166695</v>
      </c>
      <c r="S43" s="18">
        <v>4.9081578830504489</v>
      </c>
      <c r="T43" s="18">
        <v>5.3862386137170182</v>
      </c>
      <c r="U43" s="18">
        <v>5.5439389662575707</v>
      </c>
      <c r="V43" s="18">
        <v>6.8115380121735871</v>
      </c>
      <c r="W43" s="18">
        <v>6.0965871180533284</v>
      </c>
      <c r="X43" s="18">
        <v>5.0486968470864948</v>
      </c>
    </row>
    <row r="44" spans="1:24" s="14" customFormat="1" x14ac:dyDescent="0.2">
      <c r="A44" s="4" t="s">
        <v>19</v>
      </c>
      <c r="B44" s="14" t="s">
        <v>20</v>
      </c>
      <c r="C44" s="14" t="s">
        <v>54</v>
      </c>
      <c r="D44" s="99">
        <v>72</v>
      </c>
      <c r="E44" s="11">
        <v>172</v>
      </c>
      <c r="F44" s="12">
        <v>500</v>
      </c>
      <c r="G44" s="13">
        <v>2</v>
      </c>
      <c r="H44" s="18">
        <v>5.1063458005952223</v>
      </c>
      <c r="I44" s="18">
        <v>5.7920776248664163</v>
      </c>
      <c r="J44" s="18">
        <v>4.9761666135708875</v>
      </c>
      <c r="K44" s="18">
        <v>3.9241062239670566</v>
      </c>
      <c r="L44" s="18">
        <v>5.3978012719853234</v>
      </c>
      <c r="M44" s="18">
        <v>6.2064734808117556</v>
      </c>
      <c r="N44" s="18">
        <v>6.6521204246280909</v>
      </c>
      <c r="O44" s="18">
        <v>4.980991921592663</v>
      </c>
      <c r="P44" s="18">
        <v>6.0154990618547268</v>
      </c>
      <c r="Q44" s="18">
        <v>6.0831684017710916</v>
      </c>
      <c r="R44" s="18">
        <v>6.3853304344330635</v>
      </c>
      <c r="S44" s="18">
        <v>4.800246836508272</v>
      </c>
      <c r="T44" s="18">
        <v>3.9836087592896581</v>
      </c>
      <c r="U44" s="18">
        <v>6.3013793748797386</v>
      </c>
      <c r="V44" s="18">
        <v>6.9033957425538919</v>
      </c>
      <c r="W44" s="18">
        <v>6.0302157311299434</v>
      </c>
      <c r="X44" s="18">
        <v>5.3711495026116767</v>
      </c>
    </row>
    <row r="45" spans="1:24" s="14" customFormat="1" x14ac:dyDescent="0.2">
      <c r="A45" s="4" t="s">
        <v>19</v>
      </c>
      <c r="B45" s="14" t="s">
        <v>20</v>
      </c>
      <c r="C45" s="14" t="s">
        <v>54</v>
      </c>
      <c r="D45" s="99">
        <v>72</v>
      </c>
      <c r="E45" s="11">
        <v>272</v>
      </c>
      <c r="F45" s="12">
        <v>926</v>
      </c>
      <c r="G45" s="13">
        <v>3.5</v>
      </c>
      <c r="H45" s="18">
        <v>4.6793581418992858</v>
      </c>
      <c r="I45" s="18">
        <v>5.6545238710531693</v>
      </c>
      <c r="J45" s="18">
        <v>4.9770754377377369</v>
      </c>
      <c r="K45" s="18">
        <v>5.0644041293215007</v>
      </c>
      <c r="L45" s="18">
        <v>5.2671825905401892</v>
      </c>
      <c r="M45" s="18">
        <v>5.9053119386956361</v>
      </c>
      <c r="N45" s="18">
        <v>6.1866891776672475</v>
      </c>
      <c r="O45" s="18">
        <v>5.063193685296894</v>
      </c>
      <c r="P45" s="18">
        <v>6.1070405019855745</v>
      </c>
      <c r="Q45" s="18">
        <v>6.1617368451655974</v>
      </c>
      <c r="R45" s="18">
        <v>6.4121763783013215</v>
      </c>
      <c r="S45" s="18">
        <v>5.3042382474828447</v>
      </c>
      <c r="T45" s="18">
        <v>4.3911065967949892</v>
      </c>
      <c r="U45" s="18">
        <v>6.337103054521485</v>
      </c>
      <c r="V45" s="18">
        <v>6.8543513575653439</v>
      </c>
      <c r="W45" s="18">
        <v>5.8631633602552649</v>
      </c>
      <c r="X45" s="18">
        <v>5.4209493483610363</v>
      </c>
    </row>
    <row r="46" spans="1:24" x14ac:dyDescent="0.2">
      <c r="A46" s="4" t="s">
        <v>19</v>
      </c>
      <c r="B46" s="14" t="s">
        <v>20</v>
      </c>
      <c r="C46" s="14" t="s">
        <v>54</v>
      </c>
      <c r="D46" s="99">
        <v>72</v>
      </c>
      <c r="E46" s="11">
        <v>372</v>
      </c>
      <c r="F46" s="12">
        <v>3704</v>
      </c>
      <c r="G46" s="13">
        <v>13.5</v>
      </c>
      <c r="H46" s="18">
        <v>5.7437989560214167</v>
      </c>
      <c r="I46" s="18">
        <v>5.7759943409813532</v>
      </c>
      <c r="J46" s="18">
        <v>5.3831708323016816</v>
      </c>
      <c r="K46" s="18">
        <v>5.6056041706780251</v>
      </c>
      <c r="L46" s="18">
        <v>5.093069907187834</v>
      </c>
      <c r="M46" s="18">
        <v>6.0448153990245839</v>
      </c>
      <c r="N46" s="18">
        <v>6.2716436773924595</v>
      </c>
      <c r="O46" s="18">
        <v>5.2312544669465257</v>
      </c>
      <c r="P46" s="18">
        <v>6.3448756243017908</v>
      </c>
      <c r="Q46" s="18">
        <v>5.2526009940225071</v>
      </c>
      <c r="R46" s="18">
        <v>6.2747995542455106</v>
      </c>
      <c r="S46" s="18">
        <v>5.6132496826063702</v>
      </c>
      <c r="T46" s="18">
        <v>4.3715924158513548</v>
      </c>
      <c r="U46" s="18">
        <v>6.885876838713151</v>
      </c>
      <c r="V46" s="18">
        <v>6.5115939096162192</v>
      </c>
      <c r="W46" s="18">
        <v>6.2559368769599351</v>
      </c>
      <c r="X46" s="18">
        <v>6.118272725917361</v>
      </c>
    </row>
    <row r="47" spans="1:24" x14ac:dyDescent="0.2">
      <c r="A47" s="4" t="s">
        <v>19</v>
      </c>
      <c r="B47" s="15" t="s">
        <v>22</v>
      </c>
      <c r="C47" s="15" t="s">
        <v>23</v>
      </c>
      <c r="D47" s="99">
        <v>77</v>
      </c>
      <c r="E47" s="11">
        <v>177</v>
      </c>
      <c r="F47" s="12">
        <v>500</v>
      </c>
      <c r="G47" s="13">
        <v>2</v>
      </c>
      <c r="H47" s="18">
        <v>5.6387138896801217</v>
      </c>
      <c r="I47" s="18">
        <v>5.6500891104269737</v>
      </c>
      <c r="J47" s="18">
        <v>5.0154421638721249</v>
      </c>
      <c r="K47" s="18">
        <v>6.2108369170573621</v>
      </c>
      <c r="L47" s="18">
        <v>5.1647096089268487</v>
      </c>
      <c r="M47" s="18">
        <v>5.7444170806709272</v>
      </c>
      <c r="N47" s="18">
        <v>6.5255384052703391</v>
      </c>
      <c r="O47" s="18">
        <v>4.1627769840446884</v>
      </c>
      <c r="P47" s="18">
        <v>6.08754511174463</v>
      </c>
      <c r="Q47" s="18">
        <v>6.1507489962492992</v>
      </c>
      <c r="R47" s="18">
        <v>6.7538984658256886</v>
      </c>
      <c r="S47" s="18">
        <v>4.8086177362145088</v>
      </c>
      <c r="T47" s="18">
        <v>4.7798219644013278</v>
      </c>
      <c r="U47" s="18">
        <v>6.6082632017653982</v>
      </c>
      <c r="V47" s="18">
        <v>6.5583558072815995</v>
      </c>
      <c r="W47" s="18">
        <v>5.7790474410687649</v>
      </c>
      <c r="X47" s="18">
        <v>5.7639874033891676</v>
      </c>
    </row>
    <row r="48" spans="1:24" x14ac:dyDescent="0.2">
      <c r="A48" s="4" t="s">
        <v>19</v>
      </c>
      <c r="B48" s="15" t="s">
        <v>22</v>
      </c>
      <c r="C48" s="15" t="s">
        <v>23</v>
      </c>
      <c r="D48" s="99">
        <v>77</v>
      </c>
      <c r="E48" s="11">
        <v>277</v>
      </c>
      <c r="F48" s="12">
        <v>926</v>
      </c>
      <c r="G48" s="13">
        <v>4</v>
      </c>
      <c r="H48" s="18">
        <v>5.7287733618902896</v>
      </c>
      <c r="I48" s="18">
        <v>5.82971900399773</v>
      </c>
      <c r="J48" s="18">
        <v>5.0879267274108626</v>
      </c>
      <c r="K48" s="18">
        <v>6.3993329218714248</v>
      </c>
      <c r="L48" s="18">
        <v>6.3848202092923074</v>
      </c>
      <c r="M48" s="18">
        <v>6.4366661945409547</v>
      </c>
      <c r="N48" s="18">
        <v>6.5817922184328284</v>
      </c>
      <c r="O48" s="18">
        <v>5.4499294227408948</v>
      </c>
      <c r="P48" s="18">
        <v>6.2815564726711921</v>
      </c>
      <c r="Q48" s="18">
        <v>5.5310408344378459</v>
      </c>
      <c r="R48" s="18">
        <v>6.5256915225545713</v>
      </c>
      <c r="S48" s="18">
        <v>5.080321639344632</v>
      </c>
      <c r="T48" s="18">
        <v>4.7708108938856499</v>
      </c>
      <c r="U48" s="18">
        <v>6.8686814295716632</v>
      </c>
      <c r="V48" s="18">
        <v>6.6329282458802172</v>
      </c>
      <c r="W48" s="18">
        <v>5.9720700487237135</v>
      </c>
      <c r="X48" s="18">
        <v>5.7504942687087413</v>
      </c>
    </row>
    <row r="49" spans="1:24" x14ac:dyDescent="0.2">
      <c r="A49" s="4" t="s">
        <v>19</v>
      </c>
      <c r="B49" s="15" t="s">
        <v>22</v>
      </c>
      <c r="C49" s="15" t="s">
        <v>23</v>
      </c>
      <c r="D49" s="99">
        <v>77</v>
      </c>
      <c r="E49" s="11">
        <v>377</v>
      </c>
      <c r="F49" s="12">
        <v>3704</v>
      </c>
      <c r="G49" s="13">
        <v>13.5</v>
      </c>
      <c r="H49" s="18">
        <v>5.4158206570981999</v>
      </c>
      <c r="I49" s="18">
        <v>5.9228712593474055</v>
      </c>
      <c r="J49" s="18">
        <v>5.195533270308168</v>
      </c>
      <c r="K49" s="18">
        <v>4.9994152452055003</v>
      </c>
      <c r="L49" s="18">
        <v>5.639823305817254</v>
      </c>
      <c r="M49" s="18">
        <v>6.9315401013772959</v>
      </c>
      <c r="N49" s="18">
        <v>6.3906945316355888</v>
      </c>
      <c r="O49" s="18">
        <v>5.4335371879329326</v>
      </c>
      <c r="P49" s="18">
        <v>6.3764317994078015</v>
      </c>
      <c r="Q49" s="18">
        <v>4.2071191399257426</v>
      </c>
      <c r="R49" s="18">
        <v>6.3933935915800228</v>
      </c>
      <c r="S49" s="18">
        <v>5.2935061945457287</v>
      </c>
      <c r="T49" s="18">
        <v>4.6614617697999723</v>
      </c>
      <c r="U49" s="18">
        <v>6.8650882424887163</v>
      </c>
      <c r="V49" s="18">
        <v>6.6566499473480336</v>
      </c>
      <c r="W49" s="18">
        <v>6.3186446695429446</v>
      </c>
      <c r="X49" s="18">
        <v>5.6444990280103475</v>
      </c>
    </row>
    <row r="50" spans="1:24" ht="12.75" customHeight="1" x14ac:dyDescent="0.2">
      <c r="A50" s="4"/>
      <c r="F50" s="12"/>
      <c r="G50" s="8"/>
    </row>
    <row r="51" spans="1:24" ht="12.75" customHeight="1" x14ac:dyDescent="0.2">
      <c r="A51" s="4"/>
      <c r="F51" s="12"/>
      <c r="G51" s="8"/>
    </row>
    <row r="52" spans="1:24" ht="12.75" customHeight="1" x14ac:dyDescent="0.2">
      <c r="A52" s="4"/>
      <c r="F52" s="12"/>
      <c r="G52" s="8"/>
    </row>
    <row r="53" spans="1:24" ht="12.75" customHeight="1" x14ac:dyDescent="0.2">
      <c r="A53" s="4"/>
      <c r="F53" s="12"/>
      <c r="G53" s="9"/>
    </row>
    <row r="54" spans="1:24" ht="12.75" customHeight="1" x14ac:dyDescent="0.2">
      <c r="A54" s="4"/>
      <c r="F54" s="12"/>
      <c r="G54" s="9"/>
    </row>
    <row r="55" spans="1:24" ht="12.75" customHeight="1" x14ac:dyDescent="0.2">
      <c r="A55" s="4"/>
      <c r="F55" s="12"/>
      <c r="G55" s="9"/>
    </row>
    <row r="56" spans="1:24" x14ac:dyDescent="0.2">
      <c r="A56" s="4"/>
      <c r="F56" s="12"/>
      <c r="G56" s="9"/>
    </row>
    <row r="57" spans="1:24" x14ac:dyDescent="0.2">
      <c r="A57" s="4"/>
      <c r="F57" s="12"/>
      <c r="G57" s="9"/>
    </row>
    <row r="58" spans="1:24" x14ac:dyDescent="0.2">
      <c r="A58" s="4"/>
      <c r="F58" s="12"/>
      <c r="G58" s="9"/>
    </row>
    <row r="59" spans="1:24" x14ac:dyDescent="0.2">
      <c r="A59" s="4"/>
      <c r="F59" s="12"/>
      <c r="G59" s="9"/>
    </row>
    <row r="60" spans="1:24" x14ac:dyDescent="0.2">
      <c r="A60" s="4"/>
      <c r="F60" s="12"/>
      <c r="G60" s="9"/>
    </row>
    <row r="61" spans="1:24" x14ac:dyDescent="0.2">
      <c r="A61" s="4"/>
      <c r="F61" s="12"/>
      <c r="G61" s="9"/>
    </row>
    <row r="68" spans="2:2" x14ac:dyDescent="0.2">
      <c r="B68" s="5"/>
    </row>
    <row r="69" spans="2:2" x14ac:dyDescent="0.2">
      <c r="B69" s="5"/>
    </row>
    <row r="70" spans="2:2" x14ac:dyDescent="0.2">
      <c r="B70" s="5"/>
    </row>
    <row r="71" spans="2:2" x14ac:dyDescent="0.2">
      <c r="B71" s="5"/>
    </row>
    <row r="72" spans="2:2" x14ac:dyDescent="0.2">
      <c r="B72" s="5"/>
    </row>
    <row r="73" spans="2:2" x14ac:dyDescent="0.2">
      <c r="B73" s="5"/>
    </row>
  </sheetData>
  <phoneticPr fontId="4" type="noConversion"/>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16"/>
  <sheetViews>
    <sheetView workbookViewId="0">
      <selection activeCell="G20" sqref="G20"/>
    </sheetView>
  </sheetViews>
  <sheetFormatPr defaultRowHeight="12.75" x14ac:dyDescent="0.2"/>
  <cols>
    <col min="1" max="2" width="14.85546875" bestFit="1" customWidth="1"/>
    <col min="3" max="3" width="8.5703125" customWidth="1"/>
    <col min="4" max="4" width="12.140625" customWidth="1"/>
    <col min="5" max="5" width="32.5703125" style="57" customWidth="1"/>
    <col min="6" max="6" width="18.42578125" style="57" customWidth="1"/>
    <col min="7" max="7" width="6.5703125" bestFit="1" customWidth="1"/>
  </cols>
  <sheetData>
    <row r="1" spans="1:7" ht="15" x14ac:dyDescent="0.25">
      <c r="A1" s="173" t="s">
        <v>108</v>
      </c>
    </row>
    <row r="3" spans="1:7" ht="38.25" x14ac:dyDescent="0.2">
      <c r="A3" s="174" t="s">
        <v>109</v>
      </c>
      <c r="B3" s="174" t="s">
        <v>110</v>
      </c>
      <c r="C3" s="174" t="s">
        <v>111</v>
      </c>
      <c r="D3" s="174" t="s">
        <v>112</v>
      </c>
      <c r="E3" s="174" t="s">
        <v>113</v>
      </c>
      <c r="F3" s="174" t="s">
        <v>114</v>
      </c>
      <c r="G3" s="174" t="s">
        <v>115</v>
      </c>
    </row>
    <row r="4" spans="1:7" ht="38.25" x14ac:dyDescent="0.2">
      <c r="A4" s="175" t="s">
        <v>82</v>
      </c>
      <c r="B4" s="176" t="s">
        <v>116</v>
      </c>
      <c r="C4" s="176" t="s">
        <v>117</v>
      </c>
      <c r="D4" s="177" t="s">
        <v>118</v>
      </c>
      <c r="E4" s="297" t="s">
        <v>119</v>
      </c>
      <c r="F4" s="297" t="s">
        <v>120</v>
      </c>
      <c r="G4" s="178">
        <v>229.07</v>
      </c>
    </row>
    <row r="5" spans="1:7" ht="38.25" x14ac:dyDescent="0.2">
      <c r="A5" s="175" t="s">
        <v>83</v>
      </c>
      <c r="B5" s="176" t="s">
        <v>121</v>
      </c>
      <c r="C5" s="176" t="s">
        <v>117</v>
      </c>
      <c r="D5" s="177" t="s">
        <v>118</v>
      </c>
      <c r="E5" s="297" t="s">
        <v>122</v>
      </c>
      <c r="F5" s="297" t="s">
        <v>120</v>
      </c>
      <c r="G5" s="178">
        <v>97.97</v>
      </c>
    </row>
    <row r="6" spans="1:7" ht="38.25" x14ac:dyDescent="0.2">
      <c r="A6" s="175" t="s">
        <v>88</v>
      </c>
      <c r="B6" s="176" t="s">
        <v>123</v>
      </c>
      <c r="C6" s="176" t="s">
        <v>117</v>
      </c>
      <c r="D6" s="177" t="s">
        <v>118</v>
      </c>
      <c r="E6" s="297" t="s">
        <v>175</v>
      </c>
      <c r="F6" s="297" t="s">
        <v>120</v>
      </c>
      <c r="G6" s="178">
        <v>58.93</v>
      </c>
    </row>
    <row r="7" spans="1:7" ht="38.25" x14ac:dyDescent="0.2">
      <c r="A7" s="175" t="s">
        <v>84</v>
      </c>
      <c r="B7" s="176" t="s">
        <v>124</v>
      </c>
      <c r="C7" s="176" t="s">
        <v>117</v>
      </c>
      <c r="D7" s="177" t="s">
        <v>125</v>
      </c>
      <c r="E7" s="297" t="s">
        <v>176</v>
      </c>
      <c r="F7" s="297" t="s">
        <v>120</v>
      </c>
      <c r="G7" s="178">
        <v>178.98</v>
      </c>
    </row>
    <row r="8" spans="1:7" ht="25.5" x14ac:dyDescent="0.2">
      <c r="A8" s="175" t="s">
        <v>104</v>
      </c>
      <c r="B8" s="176" t="s">
        <v>126</v>
      </c>
      <c r="C8" s="176" t="s">
        <v>127</v>
      </c>
      <c r="D8" s="177" t="s">
        <v>118</v>
      </c>
      <c r="E8" s="297" t="s">
        <v>128</v>
      </c>
      <c r="F8" s="297" t="s">
        <v>129</v>
      </c>
      <c r="G8" s="178">
        <v>365.8</v>
      </c>
    </row>
    <row r="9" spans="1:7" ht="33.75" customHeight="1" x14ac:dyDescent="0.2">
      <c r="A9" s="175" t="s">
        <v>105</v>
      </c>
      <c r="B9" s="176" t="s">
        <v>130</v>
      </c>
      <c r="C9" s="176" t="s">
        <v>127</v>
      </c>
      <c r="D9" s="177" t="s">
        <v>118</v>
      </c>
      <c r="E9" s="297" t="s">
        <v>131</v>
      </c>
      <c r="F9" s="297" t="s">
        <v>129</v>
      </c>
      <c r="G9" s="178">
        <v>322.70999999999998</v>
      </c>
    </row>
    <row r="13" spans="1:7" x14ac:dyDescent="0.2">
      <c r="E13" s="179"/>
      <c r="F13" s="179"/>
    </row>
    <row r="16" spans="1:7" x14ac:dyDescent="0.2">
      <c r="D16" s="180"/>
    </row>
  </sheetData>
  <phoneticPr fontId="1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73"/>
  <sheetViews>
    <sheetView topLeftCell="N1" workbookViewId="0">
      <selection activeCell="Z37" sqref="Z37"/>
    </sheetView>
  </sheetViews>
  <sheetFormatPr defaultRowHeight="12.75" x14ac:dyDescent="0.2"/>
  <cols>
    <col min="1" max="1" width="5.7109375" style="12" customWidth="1"/>
    <col min="2" max="2" width="22.85546875" style="15" bestFit="1" customWidth="1"/>
    <col min="3" max="3" width="38" style="15" bestFit="1" customWidth="1"/>
    <col min="4" max="4" width="9.85546875" style="12" customWidth="1"/>
    <col min="5" max="5" width="16.28515625" style="12" customWidth="1"/>
    <col min="6" max="6" width="14.140625" style="15" customWidth="1"/>
    <col min="7" max="7" width="11.28515625" style="15" bestFit="1" customWidth="1"/>
    <col min="8" max="8" width="9.140625" style="15"/>
    <col min="9" max="9" width="8.5703125" style="15" bestFit="1" customWidth="1"/>
    <col min="10" max="10" width="8.85546875" style="15" customWidth="1"/>
    <col min="11" max="19" width="9.140625" style="15"/>
    <col min="20" max="21" width="11.7109375" style="15" customWidth="1"/>
    <col min="22" max="22" width="9.140625" style="15"/>
    <col min="23" max="24" width="10.140625" style="15" customWidth="1"/>
    <col min="25" max="16384" width="9.140625" style="15"/>
  </cols>
  <sheetData>
    <row r="1" spans="1:24" s="10" customFormat="1" ht="29.25" customHeight="1" x14ac:dyDescent="0.2">
      <c r="A1" s="1" t="s">
        <v>0</v>
      </c>
      <c r="B1" s="2" t="s">
        <v>1</v>
      </c>
      <c r="C1" s="1" t="s">
        <v>2</v>
      </c>
      <c r="D1" s="3" t="s">
        <v>89</v>
      </c>
      <c r="E1" s="3" t="s">
        <v>27</v>
      </c>
      <c r="F1" s="1" t="s">
        <v>4</v>
      </c>
      <c r="G1" s="1" t="s">
        <v>5</v>
      </c>
      <c r="H1" s="3" t="s">
        <v>28</v>
      </c>
      <c r="I1" s="3" t="s">
        <v>29</v>
      </c>
      <c r="J1" s="3" t="s">
        <v>30</v>
      </c>
      <c r="K1" s="3" t="s">
        <v>31</v>
      </c>
      <c r="L1" s="3" t="s">
        <v>32</v>
      </c>
      <c r="M1" s="3" t="s">
        <v>33</v>
      </c>
      <c r="N1" s="3" t="s">
        <v>35</v>
      </c>
      <c r="O1" s="3" t="s">
        <v>36</v>
      </c>
      <c r="P1" s="3" t="s">
        <v>34</v>
      </c>
      <c r="Q1" s="3" t="s">
        <v>37</v>
      </c>
      <c r="R1" s="3" t="s">
        <v>38</v>
      </c>
      <c r="S1" s="3" t="s">
        <v>39</v>
      </c>
      <c r="T1" s="3" t="s">
        <v>40</v>
      </c>
      <c r="U1" s="3" t="s">
        <v>41</v>
      </c>
      <c r="V1" s="3" t="s">
        <v>42</v>
      </c>
      <c r="W1" s="3" t="s">
        <v>43</v>
      </c>
      <c r="X1" s="3" t="s">
        <v>44</v>
      </c>
    </row>
    <row r="2" spans="1:24" s="14" customFormat="1" x14ac:dyDescent="0.2">
      <c r="A2" s="4" t="s">
        <v>6</v>
      </c>
      <c r="B2" s="6" t="s">
        <v>7</v>
      </c>
      <c r="C2" s="4" t="s">
        <v>8</v>
      </c>
      <c r="D2" s="99">
        <v>1</v>
      </c>
      <c r="E2" s="11">
        <v>101</v>
      </c>
      <c r="F2" s="12">
        <v>500</v>
      </c>
      <c r="G2" s="13">
        <v>3</v>
      </c>
      <c r="H2" s="18">
        <v>4.9364930199921409</v>
      </c>
      <c r="I2" s="18">
        <v>3.6724228050293268</v>
      </c>
      <c r="J2" s="18">
        <v>4.0465744492024669</v>
      </c>
      <c r="K2" s="18">
        <v>4.6449654890660685</v>
      </c>
      <c r="L2" s="18">
        <v>4.6075192765114563</v>
      </c>
      <c r="M2" s="18">
        <v>4.2038515617234662</v>
      </c>
      <c r="N2" s="18">
        <v>5.0660824099127613</v>
      </c>
      <c r="O2" s="18">
        <v>4.8617113209863714</v>
      </c>
      <c r="P2" s="18">
        <v>4.7795665062926354</v>
      </c>
      <c r="Q2" s="18">
        <v>4.82643768785048</v>
      </c>
      <c r="R2" s="18">
        <v>5.0101460318821092</v>
      </c>
      <c r="S2" s="18">
        <v>4.463203078058239</v>
      </c>
      <c r="T2" s="18">
        <v>4.6688692810390044</v>
      </c>
      <c r="U2" s="18">
        <v>4.4982391103220563</v>
      </c>
      <c r="V2" s="18">
        <v>4.5127111371459732</v>
      </c>
      <c r="W2" s="18">
        <v>5.2504389849019502</v>
      </c>
      <c r="X2" s="18">
        <v>5.2857953566619251</v>
      </c>
    </row>
    <row r="3" spans="1:24" s="14" customFormat="1" x14ac:dyDescent="0.2">
      <c r="A3" s="4" t="s">
        <v>6</v>
      </c>
      <c r="B3" s="6" t="s">
        <v>7</v>
      </c>
      <c r="C3" s="4" t="s">
        <v>8</v>
      </c>
      <c r="D3" s="99">
        <v>1</v>
      </c>
      <c r="E3" s="11">
        <v>201</v>
      </c>
      <c r="F3" s="12">
        <v>926</v>
      </c>
      <c r="G3" s="13">
        <v>6.5</v>
      </c>
      <c r="H3" s="18">
        <v>4.7299908592347686</v>
      </c>
      <c r="I3" s="18">
        <v>4.044372345297135</v>
      </c>
      <c r="J3" s="18">
        <v>4.6981619743411525</v>
      </c>
      <c r="K3" s="18">
        <v>4.4066825483366525</v>
      </c>
      <c r="L3" s="18">
        <v>4.4294841354505383</v>
      </c>
      <c r="M3" s="18">
        <v>4.2640988625040226</v>
      </c>
      <c r="N3" s="18">
        <v>5.0416356822964614</v>
      </c>
      <c r="O3" s="18">
        <v>4.698965409965167</v>
      </c>
      <c r="P3" s="18">
        <v>4.8994867204864683</v>
      </c>
      <c r="Q3" s="18">
        <v>4.6987871493063036</v>
      </c>
      <c r="R3" s="18">
        <v>5.0799229711435325</v>
      </c>
      <c r="S3" s="18">
        <v>4.2013716601153019</v>
      </c>
      <c r="T3" s="18">
        <v>4.7870724655650614</v>
      </c>
      <c r="U3" s="18">
        <v>4.4617666477046916</v>
      </c>
      <c r="V3" s="18">
        <v>2.3278096747040506</v>
      </c>
      <c r="W3" s="18">
        <v>5.1840540527512982</v>
      </c>
      <c r="X3" s="18">
        <v>5.2263677571060718</v>
      </c>
    </row>
    <row r="4" spans="1:24" s="14" customFormat="1" x14ac:dyDescent="0.2">
      <c r="A4" s="4" t="s">
        <v>6</v>
      </c>
      <c r="B4" s="6" t="s">
        <v>7</v>
      </c>
      <c r="C4" s="4" t="s">
        <v>8</v>
      </c>
      <c r="D4" s="99">
        <v>1</v>
      </c>
      <c r="E4" s="11">
        <v>301</v>
      </c>
      <c r="F4" s="12">
        <v>3704</v>
      </c>
      <c r="G4" s="13">
        <v>13.5</v>
      </c>
      <c r="H4" s="18">
        <v>4.4479346032951774</v>
      </c>
      <c r="I4" s="18">
        <v>3.7434828657770209</v>
      </c>
      <c r="J4" s="18">
        <v>3.7723978187599227</v>
      </c>
      <c r="K4" s="18">
        <v>4.2205854308651816</v>
      </c>
      <c r="L4" s="18">
        <v>4.1676830119061314</v>
      </c>
      <c r="M4" s="18">
        <v>4.2633017822755255</v>
      </c>
      <c r="N4" s="18">
        <v>3.1287068239124571</v>
      </c>
      <c r="O4" s="18">
        <v>3.7673320620666706</v>
      </c>
      <c r="P4" s="18">
        <v>4.6091488808994852</v>
      </c>
      <c r="Q4" s="18">
        <v>3.6637677230308903</v>
      </c>
      <c r="R4" s="18">
        <v>4.4874216012232333</v>
      </c>
      <c r="S4" s="18">
        <v>3.7669345586445999</v>
      </c>
      <c r="T4" s="18">
        <v>4.3857508518502062</v>
      </c>
      <c r="U4" s="18">
        <v>3.880903704395736</v>
      </c>
      <c r="V4" s="18">
        <v>3.6932086448845043</v>
      </c>
      <c r="W4" s="18">
        <v>5.1471804468890525</v>
      </c>
      <c r="X4" s="18">
        <v>5.2769579818220684</v>
      </c>
    </row>
    <row r="5" spans="1:24" s="14" customFormat="1" x14ac:dyDescent="0.2">
      <c r="A5" s="4" t="s">
        <v>6</v>
      </c>
      <c r="B5" s="4" t="s">
        <v>9</v>
      </c>
      <c r="C5" s="4" t="s">
        <v>46</v>
      </c>
      <c r="D5" s="99">
        <v>8</v>
      </c>
      <c r="E5" s="11">
        <v>108</v>
      </c>
      <c r="F5" s="12">
        <v>500</v>
      </c>
      <c r="G5" s="13">
        <v>2</v>
      </c>
      <c r="H5" s="18">
        <v>4.5337888754516911</v>
      </c>
      <c r="I5" s="18">
        <v>4.5901727699579071</v>
      </c>
      <c r="J5" s="18">
        <v>4.3356943759088731</v>
      </c>
      <c r="K5" s="18">
        <v>4.0997722916155475</v>
      </c>
      <c r="L5" s="18">
        <v>4.1554906850478224</v>
      </c>
      <c r="M5" s="18">
        <v>5.9621551303111957</v>
      </c>
      <c r="N5" s="18">
        <v>5.4593851801025224</v>
      </c>
      <c r="O5" s="18">
        <v>5.6945652677431138</v>
      </c>
      <c r="P5" s="18">
        <v>5.0195370248261426</v>
      </c>
      <c r="Q5" s="18">
        <v>4.0417134771657865</v>
      </c>
      <c r="R5" s="18">
        <v>4.5159124324216284</v>
      </c>
      <c r="S5" s="18">
        <v>4.5587435558939537</v>
      </c>
      <c r="T5" s="18">
        <v>3.9897076990655953</v>
      </c>
      <c r="U5" s="18">
        <v>3.9748843858990743</v>
      </c>
      <c r="V5" s="18">
        <v>4.495949057401214</v>
      </c>
      <c r="W5" s="18">
        <v>4.7337925903198119</v>
      </c>
      <c r="X5" s="18">
        <v>5.5133710579074036</v>
      </c>
    </row>
    <row r="6" spans="1:24" s="14" customFormat="1" x14ac:dyDescent="0.2">
      <c r="A6" s="4" t="s">
        <v>6</v>
      </c>
      <c r="B6" s="4" t="s">
        <v>9</v>
      </c>
      <c r="C6" s="4" t="s">
        <v>46</v>
      </c>
      <c r="D6" s="99">
        <v>8</v>
      </c>
      <c r="E6" s="11">
        <v>208</v>
      </c>
      <c r="F6" s="12">
        <v>926</v>
      </c>
      <c r="G6" s="13">
        <v>4.5</v>
      </c>
      <c r="H6" s="18">
        <v>4.1663023300272002</v>
      </c>
      <c r="I6" s="18">
        <v>4.3181765553301572</v>
      </c>
      <c r="J6" s="18">
        <v>3.8006611289209564</v>
      </c>
      <c r="K6" s="18">
        <v>3.3960965496969329</v>
      </c>
      <c r="L6" s="18">
        <v>4.5429896964851704</v>
      </c>
      <c r="M6" s="18">
        <v>5.7133632584400553</v>
      </c>
      <c r="N6" s="18">
        <v>5.6230706711113569</v>
      </c>
      <c r="O6" s="18">
        <v>5.6594740742138168</v>
      </c>
      <c r="P6" s="18">
        <v>4.7069422229403459</v>
      </c>
      <c r="Q6" s="18">
        <v>3.9785886155491155</v>
      </c>
      <c r="R6" s="18">
        <v>4.3557600729070156</v>
      </c>
      <c r="S6" s="18">
        <v>4.50475945971837</v>
      </c>
      <c r="T6" s="18">
        <v>3.820182174845308</v>
      </c>
      <c r="U6" s="18">
        <v>4.0717863628837003</v>
      </c>
      <c r="V6" s="18">
        <v>4.2812438377857118</v>
      </c>
      <c r="W6" s="18">
        <v>4.7352888860554305</v>
      </c>
      <c r="X6" s="18">
        <v>5.642717790370126</v>
      </c>
    </row>
    <row r="7" spans="1:24" s="14" customFormat="1" x14ac:dyDescent="0.2">
      <c r="A7" s="4" t="s">
        <v>6</v>
      </c>
      <c r="B7" s="4" t="s">
        <v>9</v>
      </c>
      <c r="C7" s="4" t="s">
        <v>46</v>
      </c>
      <c r="D7" s="99">
        <v>8</v>
      </c>
      <c r="E7" s="11">
        <v>308</v>
      </c>
      <c r="F7" s="12">
        <v>3704</v>
      </c>
      <c r="G7" s="13">
        <v>13</v>
      </c>
      <c r="H7" s="18">
        <v>4.469707760906477</v>
      </c>
      <c r="I7" s="18">
        <v>2.9911446168261855</v>
      </c>
      <c r="J7" s="18">
        <v>3.2936506476611855</v>
      </c>
      <c r="K7" s="18">
        <v>3.39803992433347</v>
      </c>
      <c r="L7" s="18">
        <v>4.3016697556982777</v>
      </c>
      <c r="M7" s="18">
        <v>4.7046753760043574</v>
      </c>
      <c r="N7" s="18">
        <v>5.5943070588375168</v>
      </c>
      <c r="O7" s="18">
        <v>5.5535387953078752</v>
      </c>
      <c r="P7" s="18">
        <v>4.4105212061721923</v>
      </c>
      <c r="Q7" s="18">
        <v>3.5404893937569271</v>
      </c>
      <c r="R7" s="18">
        <v>3.276988181743385</v>
      </c>
      <c r="S7" s="18">
        <v>3.9559539791602916</v>
      </c>
      <c r="T7" s="18">
        <v>3.7936699534259151</v>
      </c>
      <c r="U7" s="18">
        <v>3.8791370083458152</v>
      </c>
      <c r="V7" s="18">
        <v>4.3711653563018489</v>
      </c>
      <c r="W7" s="18">
        <v>4.8965258913097047</v>
      </c>
      <c r="X7" s="18">
        <v>5.2094619122671162</v>
      </c>
    </row>
    <row r="8" spans="1:24" s="14" customFormat="1" x14ac:dyDescent="0.2">
      <c r="A8" s="4" t="s">
        <v>6</v>
      </c>
      <c r="B8" s="4" t="s">
        <v>9</v>
      </c>
      <c r="C8" s="4" t="s">
        <v>10</v>
      </c>
      <c r="D8" s="99">
        <v>10</v>
      </c>
      <c r="E8" s="11">
        <v>110</v>
      </c>
      <c r="F8" s="12">
        <v>500</v>
      </c>
      <c r="G8" s="13">
        <v>2</v>
      </c>
      <c r="H8" s="18">
        <v>5.1785094294228848</v>
      </c>
      <c r="I8" s="18">
        <v>4.8025726515591431</v>
      </c>
      <c r="J8" s="18">
        <v>4.3077259509884982</v>
      </c>
      <c r="K8" s="18">
        <v>3.6737138643441689</v>
      </c>
      <c r="L8" s="18">
        <v>4.8988268055519582</v>
      </c>
      <c r="M8" s="18">
        <v>6.0810386666784417</v>
      </c>
      <c r="N8" s="18">
        <v>5.6918018338749343</v>
      </c>
      <c r="O8" s="18">
        <v>5.1741199541930127</v>
      </c>
      <c r="P8" s="18">
        <v>4.8200862455297049</v>
      </c>
      <c r="Q8" s="18">
        <v>5.9906079743762399</v>
      </c>
      <c r="R8" s="18">
        <v>4.4853779517682524</v>
      </c>
      <c r="S8" s="18">
        <v>4.9410633703012774</v>
      </c>
      <c r="T8" s="18">
        <v>4.8706013052988446</v>
      </c>
      <c r="U8" s="18">
        <v>3.958357587336919</v>
      </c>
      <c r="V8" s="18">
        <v>5.2278344815277169</v>
      </c>
      <c r="W8" s="18">
        <v>5.4279820907927592</v>
      </c>
      <c r="X8" s="18">
        <v>6.0045563861853024</v>
      </c>
    </row>
    <row r="9" spans="1:24" s="14" customFormat="1" x14ac:dyDescent="0.2">
      <c r="A9" s="4" t="s">
        <v>6</v>
      </c>
      <c r="B9" s="4" t="s">
        <v>9</v>
      </c>
      <c r="C9" s="4" t="s">
        <v>10</v>
      </c>
      <c r="D9" s="99">
        <v>10</v>
      </c>
      <c r="E9" s="11">
        <v>210</v>
      </c>
      <c r="F9" s="12">
        <v>926</v>
      </c>
      <c r="G9" s="13">
        <v>4.5</v>
      </c>
      <c r="H9" s="18">
        <v>4.7386245389719512</v>
      </c>
      <c r="I9" s="18">
        <v>4.9530516831917168</v>
      </c>
      <c r="J9" s="18">
        <v>4.4314886205413355</v>
      </c>
      <c r="K9" s="18">
        <v>3.4850149472784242</v>
      </c>
      <c r="L9" s="18">
        <v>4.5658903368169508</v>
      </c>
      <c r="M9" s="18">
        <v>5.0486860148857273</v>
      </c>
      <c r="N9" s="18">
        <v>5.7703388389628127</v>
      </c>
      <c r="O9" s="18">
        <v>5.3035668601301102</v>
      </c>
      <c r="P9" s="18">
        <v>4.9148072543999604</v>
      </c>
      <c r="Q9" s="18">
        <v>5.968014651752001</v>
      </c>
      <c r="R9" s="18">
        <v>4.2064291039953963</v>
      </c>
      <c r="S9" s="18">
        <v>4.9257074058328021</v>
      </c>
      <c r="T9" s="18">
        <v>4.371416965992756</v>
      </c>
      <c r="U9" s="18">
        <v>4.1545818121625766</v>
      </c>
      <c r="V9" s="18">
        <v>5.3636705969713674</v>
      </c>
      <c r="W9" s="18">
        <v>5.8361676030841796</v>
      </c>
      <c r="X9" s="18">
        <v>5.8573221177181258</v>
      </c>
    </row>
    <row r="10" spans="1:24" s="14" customFormat="1" x14ac:dyDescent="0.2">
      <c r="A10" s="4" t="s">
        <v>6</v>
      </c>
      <c r="B10" s="4" t="s">
        <v>9</v>
      </c>
      <c r="C10" s="4" t="s">
        <v>10</v>
      </c>
      <c r="D10" s="99">
        <v>10</v>
      </c>
      <c r="E10" s="11">
        <v>310</v>
      </c>
      <c r="F10" s="12">
        <v>3704</v>
      </c>
      <c r="G10" s="13">
        <v>11.5</v>
      </c>
      <c r="H10" s="18">
        <v>4.9575893578142063</v>
      </c>
      <c r="I10" s="18">
        <v>4.285279021277546</v>
      </c>
      <c r="J10" s="18">
        <v>3.6321904731990071</v>
      </c>
      <c r="K10" s="18">
        <v>2.8596282981498811</v>
      </c>
      <c r="L10" s="18">
        <v>4.3414441366926289</v>
      </c>
      <c r="M10" s="18">
        <v>5.8404277115373651</v>
      </c>
      <c r="N10" s="18">
        <v>5.9182606279386514</v>
      </c>
      <c r="O10" s="18">
        <v>5.1010149207419184</v>
      </c>
      <c r="P10" s="18">
        <v>4.7665648771791558</v>
      </c>
      <c r="Q10" s="18">
        <v>3.3280287541000888</v>
      </c>
      <c r="R10" s="18">
        <v>4.1940994383647547</v>
      </c>
      <c r="S10" s="18">
        <v>4.2785316841405798</v>
      </c>
      <c r="T10" s="18">
        <v>4.00828927515213</v>
      </c>
      <c r="U10" s="18">
        <v>4.0171548557936863</v>
      </c>
      <c r="V10" s="18">
        <v>4.5502408817053022</v>
      </c>
      <c r="W10" s="18">
        <v>4.0562103320675709</v>
      </c>
      <c r="X10" s="18">
        <v>5.5910205368703956</v>
      </c>
    </row>
    <row r="11" spans="1:24" s="14" customFormat="1" x14ac:dyDescent="0.2">
      <c r="A11" s="4" t="s">
        <v>6</v>
      </c>
      <c r="B11" s="4" t="s">
        <v>9</v>
      </c>
      <c r="C11" s="4" t="s">
        <v>11</v>
      </c>
      <c r="D11" s="99">
        <v>15</v>
      </c>
      <c r="E11" s="11">
        <v>115</v>
      </c>
      <c r="F11" s="12">
        <v>500</v>
      </c>
      <c r="G11" s="13">
        <v>2.5</v>
      </c>
      <c r="H11" s="18">
        <v>4.2682157682879973</v>
      </c>
      <c r="I11" s="18">
        <v>4.5525319702367026</v>
      </c>
      <c r="J11" s="18">
        <v>4.4527937820757959</v>
      </c>
      <c r="K11" s="18">
        <v>4.7948701474648576</v>
      </c>
      <c r="L11" s="18">
        <v>4.8494399226758009</v>
      </c>
      <c r="M11" s="18">
        <v>5.7329298954225809</v>
      </c>
      <c r="N11" s="18">
        <v>6.3265781833661876</v>
      </c>
      <c r="O11" s="18">
        <v>6.4382179446281755</v>
      </c>
      <c r="P11" s="18">
        <v>4.9931673710943505</v>
      </c>
      <c r="Q11" s="18">
        <v>4.6362045684752227</v>
      </c>
      <c r="R11" s="18">
        <v>5.7659871858339997</v>
      </c>
      <c r="S11" s="18">
        <v>5.3019109639626443</v>
      </c>
      <c r="T11" s="18">
        <v>4.6855216221877862</v>
      </c>
      <c r="U11" s="18">
        <v>4.6272891152564348</v>
      </c>
      <c r="V11" s="18">
        <v>4.9797559939772515</v>
      </c>
      <c r="W11" s="18">
        <v>5.5848831031645094</v>
      </c>
      <c r="X11" s="18">
        <v>5.7877794864517398</v>
      </c>
    </row>
    <row r="12" spans="1:24" s="14" customFormat="1" x14ac:dyDescent="0.2">
      <c r="A12" s="4" t="s">
        <v>6</v>
      </c>
      <c r="B12" s="4" t="s">
        <v>9</v>
      </c>
      <c r="C12" s="4" t="s">
        <v>11</v>
      </c>
      <c r="D12" s="99">
        <v>15</v>
      </c>
      <c r="E12" s="11">
        <v>215</v>
      </c>
      <c r="F12" s="12">
        <v>926</v>
      </c>
      <c r="G12" s="13">
        <v>6</v>
      </c>
      <c r="H12" s="18">
        <v>4.359730128298553</v>
      </c>
      <c r="I12" s="18">
        <v>3.9681380414155294</v>
      </c>
      <c r="J12" s="18">
        <v>3.955055348866555</v>
      </c>
      <c r="K12" s="18">
        <v>4.5023328880953262</v>
      </c>
      <c r="L12" s="18">
        <v>5.262284522816957</v>
      </c>
      <c r="M12" s="18">
        <v>6.188413917930502</v>
      </c>
      <c r="N12" s="18">
        <v>6.2223726483281361</v>
      </c>
      <c r="O12" s="18">
        <v>6.0170221359514855</v>
      </c>
      <c r="P12" s="18">
        <v>4.8290031719197799</v>
      </c>
      <c r="Q12" s="18">
        <v>5.2684395683778824</v>
      </c>
      <c r="R12" s="18">
        <v>5.0833904149828077</v>
      </c>
      <c r="S12" s="18">
        <v>4.973406552074823</v>
      </c>
      <c r="T12" s="18">
        <v>5.0365256704261254</v>
      </c>
      <c r="U12" s="18">
        <v>4.6310893546118246</v>
      </c>
      <c r="V12" s="18">
        <v>5.3845660697413704</v>
      </c>
      <c r="W12" s="18">
        <v>5.3964134155990493</v>
      </c>
      <c r="X12" s="18">
        <v>5.7146859456521995</v>
      </c>
    </row>
    <row r="13" spans="1:24" s="14" customFormat="1" x14ac:dyDescent="0.2">
      <c r="A13" s="4" t="s">
        <v>6</v>
      </c>
      <c r="B13" s="4" t="s">
        <v>9</v>
      </c>
      <c r="C13" s="4" t="s">
        <v>11</v>
      </c>
      <c r="D13" s="99">
        <v>15</v>
      </c>
      <c r="E13" s="11">
        <v>315</v>
      </c>
      <c r="F13" s="12">
        <v>3704</v>
      </c>
      <c r="G13" s="13">
        <v>13.5</v>
      </c>
      <c r="H13" s="18">
        <v>4.5705733755226507</v>
      </c>
      <c r="I13" s="18">
        <v>3.823560428675925</v>
      </c>
      <c r="J13" s="18">
        <v>4.0367797854325751</v>
      </c>
      <c r="K13" s="18">
        <v>2.8842358202943426</v>
      </c>
      <c r="L13" s="18">
        <v>3.8896008538397706</v>
      </c>
      <c r="M13" s="18">
        <v>5.3645027778000935</v>
      </c>
      <c r="N13" s="18">
        <v>5.4608909652209539</v>
      </c>
      <c r="O13" s="18">
        <v>4.6210281595206739</v>
      </c>
      <c r="P13" s="18">
        <v>4.6936058213708378</v>
      </c>
      <c r="Q13" s="18">
        <v>3.2638242026923385</v>
      </c>
      <c r="R13" s="18">
        <v>4.9202507386824301</v>
      </c>
      <c r="S13" s="18">
        <v>4.0362245218355408</v>
      </c>
      <c r="T13" s="18">
        <v>3.5328379128501903</v>
      </c>
      <c r="U13" s="18">
        <v>3.5947610868454016</v>
      </c>
      <c r="V13" s="18">
        <v>5.0602398699788473</v>
      </c>
      <c r="W13" s="18">
        <v>5.0178871564745666</v>
      </c>
      <c r="X13" s="18">
        <v>5.5886171324009446</v>
      </c>
    </row>
    <row r="14" spans="1:24" s="14" customFormat="1" x14ac:dyDescent="0.2">
      <c r="A14" s="4" t="s">
        <v>6</v>
      </c>
      <c r="B14" s="4" t="s">
        <v>12</v>
      </c>
      <c r="C14" s="4" t="s">
        <v>47</v>
      </c>
      <c r="D14" s="99">
        <v>24</v>
      </c>
      <c r="E14" s="11">
        <v>124</v>
      </c>
      <c r="F14" s="12">
        <v>500</v>
      </c>
      <c r="G14" s="13">
        <v>2.5</v>
      </c>
      <c r="H14" s="18">
        <v>4.6801711226698952</v>
      </c>
      <c r="I14" s="18">
        <v>4.4125964250157015</v>
      </c>
      <c r="J14" s="18">
        <v>4.6563062499270593</v>
      </c>
      <c r="K14" s="18">
        <v>3.4112364504281274</v>
      </c>
      <c r="L14" s="18">
        <v>5.0972281642859834</v>
      </c>
      <c r="M14" s="18">
        <v>4.8392150596626884</v>
      </c>
      <c r="N14" s="18">
        <v>6.31560829851799</v>
      </c>
      <c r="O14" s="18">
        <v>5.3238251326010255</v>
      </c>
      <c r="P14" s="18">
        <v>4.8973629776563357</v>
      </c>
      <c r="Q14" s="18">
        <v>3.1934708423155835</v>
      </c>
      <c r="R14" s="18">
        <v>4.7710171534097139</v>
      </c>
      <c r="S14" s="18">
        <v>4.5442961347013622</v>
      </c>
      <c r="T14" s="18">
        <v>4.6070020758077117</v>
      </c>
      <c r="U14" s="18">
        <v>4.3740644892345486</v>
      </c>
      <c r="V14" s="18">
        <v>5.1050679349983188</v>
      </c>
      <c r="W14" s="18">
        <v>5.2821865123131673</v>
      </c>
      <c r="X14" s="18">
        <v>5.39806820324082</v>
      </c>
    </row>
    <row r="15" spans="1:24" s="14" customFormat="1" x14ac:dyDescent="0.2">
      <c r="A15" s="4" t="s">
        <v>6</v>
      </c>
      <c r="B15" s="4" t="s">
        <v>12</v>
      </c>
      <c r="C15" s="4" t="s">
        <v>47</v>
      </c>
      <c r="D15" s="99">
        <v>24</v>
      </c>
      <c r="E15" s="11">
        <v>224</v>
      </c>
      <c r="F15" s="12">
        <v>926</v>
      </c>
      <c r="G15" s="13">
        <v>6.5</v>
      </c>
      <c r="H15" s="18">
        <v>4.1536961036961673</v>
      </c>
      <c r="I15" s="18">
        <v>4.7577087553199462</v>
      </c>
      <c r="J15" s="18">
        <v>4.4181633209307813</v>
      </c>
      <c r="K15" s="18">
        <v>3.6969008813354276</v>
      </c>
      <c r="L15" s="18">
        <v>5.1705466285889878</v>
      </c>
      <c r="M15" s="18">
        <v>5.3982734656615188</v>
      </c>
      <c r="N15" s="18">
        <v>6.4222460402872441</v>
      </c>
      <c r="O15" s="18">
        <v>5.5802970048755798</v>
      </c>
      <c r="P15" s="18">
        <v>4.6243100986794863</v>
      </c>
      <c r="Q15" s="18">
        <v>4.3129627273113664</v>
      </c>
      <c r="R15" s="18">
        <v>5.1352135605334084</v>
      </c>
      <c r="S15" s="18">
        <v>4.0293319189299588</v>
      </c>
      <c r="T15" s="18">
        <v>4.7949502772482324</v>
      </c>
      <c r="U15" s="18">
        <v>4.2228235861423524</v>
      </c>
      <c r="V15" s="18">
        <v>3.9039437652462556</v>
      </c>
      <c r="W15" s="18">
        <v>5.4626021002266727</v>
      </c>
      <c r="X15" s="18">
        <v>5.0249958133504169</v>
      </c>
    </row>
    <row r="16" spans="1:24" s="14" customFormat="1" x14ac:dyDescent="0.2">
      <c r="A16" s="4" t="s">
        <v>6</v>
      </c>
      <c r="B16" s="4" t="s">
        <v>12</v>
      </c>
      <c r="C16" s="4" t="s">
        <v>47</v>
      </c>
      <c r="D16" s="99">
        <v>24</v>
      </c>
      <c r="E16" s="11">
        <v>324</v>
      </c>
      <c r="F16" s="12">
        <v>3704</v>
      </c>
      <c r="G16" s="13">
        <v>15</v>
      </c>
      <c r="H16" s="18">
        <v>4.8752070794558149</v>
      </c>
      <c r="I16" s="18">
        <v>4.0278787966549476</v>
      </c>
      <c r="J16" s="18">
        <v>4.0747007195659979</v>
      </c>
      <c r="K16" s="18">
        <v>3.2811595030447913</v>
      </c>
      <c r="L16" s="18">
        <v>4.728289613057008</v>
      </c>
      <c r="M16" s="18">
        <v>5.2252170264986146</v>
      </c>
      <c r="N16" s="18">
        <v>5.3937802601126696</v>
      </c>
      <c r="O16" s="18">
        <v>4.5434742131995991</v>
      </c>
      <c r="P16" s="18">
        <v>4.3788605857551568</v>
      </c>
      <c r="Q16" s="18">
        <v>2.8798083381471646</v>
      </c>
      <c r="R16" s="18">
        <v>4.2833082912286837</v>
      </c>
      <c r="S16" s="18">
        <v>3.8743129557217357</v>
      </c>
      <c r="T16" s="18">
        <v>4.2239658101479263</v>
      </c>
      <c r="U16" s="18">
        <v>4.1794135076286798</v>
      </c>
      <c r="V16" s="18">
        <v>5.0379644917995821</v>
      </c>
      <c r="W16" s="18">
        <v>5.3052245818318244</v>
      </c>
      <c r="X16" s="18">
        <v>5.2733026774985401</v>
      </c>
    </row>
    <row r="17" spans="1:24" s="14" customFormat="1" x14ac:dyDescent="0.2">
      <c r="A17" s="4" t="s">
        <v>6</v>
      </c>
      <c r="B17" s="6" t="s">
        <v>13</v>
      </c>
      <c r="C17" s="4" t="s">
        <v>14</v>
      </c>
      <c r="D17" s="99">
        <v>32</v>
      </c>
      <c r="E17" s="11">
        <v>132</v>
      </c>
      <c r="F17" s="12">
        <v>500</v>
      </c>
      <c r="G17" s="13">
        <v>2.5</v>
      </c>
      <c r="H17" s="18">
        <v>5.5741842275733111</v>
      </c>
      <c r="I17" s="18">
        <v>5.1187392223720689</v>
      </c>
      <c r="J17" s="18">
        <v>4.9284920558522698</v>
      </c>
      <c r="K17" s="18">
        <v>3.1346787928563766</v>
      </c>
      <c r="L17" s="18">
        <v>4.9398216894921134</v>
      </c>
      <c r="M17" s="18">
        <v>5.8977014394360197</v>
      </c>
      <c r="N17" s="18">
        <v>6.2019980533014882</v>
      </c>
      <c r="O17" s="18">
        <v>5.839207162597952</v>
      </c>
      <c r="P17" s="18">
        <v>6.0133997138104016</v>
      </c>
      <c r="Q17" s="18">
        <v>2.8644376346183198</v>
      </c>
      <c r="R17" s="18">
        <v>4.5313546985544528</v>
      </c>
      <c r="S17" s="18">
        <v>5.016181383609001</v>
      </c>
      <c r="T17" s="18">
        <v>4.3932038482590965</v>
      </c>
      <c r="U17" s="18">
        <v>4.0472970786915479</v>
      </c>
      <c r="V17" s="18">
        <v>4.975701499411934</v>
      </c>
      <c r="W17" s="18">
        <v>5.7234360996200184</v>
      </c>
      <c r="X17" s="18">
        <v>5.9691092470116516</v>
      </c>
    </row>
    <row r="18" spans="1:24" s="14" customFormat="1" x14ac:dyDescent="0.2">
      <c r="A18" s="4" t="s">
        <v>6</v>
      </c>
      <c r="B18" s="6" t="s">
        <v>13</v>
      </c>
      <c r="C18" s="4" t="s">
        <v>14</v>
      </c>
      <c r="D18" s="99">
        <v>32</v>
      </c>
      <c r="E18" s="11">
        <v>232</v>
      </c>
      <c r="F18" s="12">
        <v>926</v>
      </c>
      <c r="G18" s="13">
        <v>6.5</v>
      </c>
      <c r="H18" s="18">
        <v>5.4176627474523018</v>
      </c>
      <c r="I18" s="18">
        <v>4.6710976678856593</v>
      </c>
      <c r="J18" s="18">
        <v>4.7432552607012877</v>
      </c>
      <c r="K18" s="18">
        <v>3.1171725664396881</v>
      </c>
      <c r="L18" s="18">
        <v>4.6357484013155936</v>
      </c>
      <c r="M18" s="18">
        <v>5.7353846358657989</v>
      </c>
      <c r="N18" s="18">
        <v>5.8496603026840415</v>
      </c>
      <c r="O18" s="18">
        <v>5.9752228301301731</v>
      </c>
      <c r="P18" s="18">
        <v>5.8761191621682656</v>
      </c>
      <c r="Q18" s="18">
        <v>4.5136892170470784</v>
      </c>
      <c r="R18" s="18">
        <v>5.2371008472084348</v>
      </c>
      <c r="S18" s="18">
        <v>5.0814789738069575</v>
      </c>
      <c r="T18" s="18">
        <v>4.3924117524440875</v>
      </c>
      <c r="U18" s="18">
        <v>4.2227198744745786</v>
      </c>
      <c r="V18" s="18">
        <v>3.8684792498706395</v>
      </c>
      <c r="W18" s="18">
        <v>4.9670860681990137</v>
      </c>
      <c r="X18" s="18">
        <v>5.7883650555860537</v>
      </c>
    </row>
    <row r="19" spans="1:24" s="14" customFormat="1" x14ac:dyDescent="0.2">
      <c r="A19" s="4" t="s">
        <v>6</v>
      </c>
      <c r="B19" s="6" t="s">
        <v>13</v>
      </c>
      <c r="C19" s="4" t="s">
        <v>14</v>
      </c>
      <c r="D19" s="99">
        <v>32</v>
      </c>
      <c r="E19" s="11">
        <v>332</v>
      </c>
      <c r="F19" s="12">
        <v>3704</v>
      </c>
      <c r="G19" s="13">
        <v>16</v>
      </c>
      <c r="H19" s="18">
        <v>4.595749037918992</v>
      </c>
      <c r="I19" s="18">
        <v>4.3460853179651595</v>
      </c>
      <c r="J19" s="18">
        <v>4.2582345570567126</v>
      </c>
      <c r="K19" s="18">
        <v>2.7873686351225397</v>
      </c>
      <c r="L19" s="18">
        <v>4.6835552842105086</v>
      </c>
      <c r="M19" s="18">
        <v>5.2450398220357286</v>
      </c>
      <c r="N19" s="18">
        <v>4.5192942942939647</v>
      </c>
      <c r="O19" s="18">
        <v>5.1804034932637704</v>
      </c>
      <c r="P19" s="18">
        <v>5.1471272885984733</v>
      </c>
      <c r="Q19" s="18">
        <v>3.4614721200803844</v>
      </c>
      <c r="R19" s="18">
        <v>4.054722255431539</v>
      </c>
      <c r="S19" s="18">
        <v>3.5569542582518241</v>
      </c>
      <c r="T19" s="18">
        <v>3.9193867386923817</v>
      </c>
      <c r="U19" s="18">
        <v>4.4014644921902439</v>
      </c>
      <c r="V19" s="18">
        <v>5.1229225450404554</v>
      </c>
      <c r="W19" s="18">
        <v>5.205297544266009</v>
      </c>
      <c r="X19" s="18">
        <v>5.4853807876090981</v>
      </c>
    </row>
    <row r="20" spans="1:24" s="14" customFormat="1" x14ac:dyDescent="0.2">
      <c r="A20" s="4" t="s">
        <v>6</v>
      </c>
      <c r="B20" s="6" t="s">
        <v>13</v>
      </c>
      <c r="C20" s="4" t="s">
        <v>48</v>
      </c>
      <c r="D20" s="99">
        <v>40</v>
      </c>
      <c r="E20" s="11">
        <v>140</v>
      </c>
      <c r="F20" s="12">
        <v>500</v>
      </c>
      <c r="G20" s="13">
        <v>3</v>
      </c>
      <c r="H20" s="18">
        <v>4.8643109863071121</v>
      </c>
      <c r="I20" s="18">
        <v>4.8477666267455088</v>
      </c>
      <c r="J20" s="18">
        <v>4.9161885817628894</v>
      </c>
      <c r="K20" s="18">
        <v>2.7474061506595451</v>
      </c>
      <c r="L20" s="18">
        <v>5.4134817616976711</v>
      </c>
      <c r="M20" s="18">
        <v>4.6093305466546672</v>
      </c>
      <c r="N20" s="18">
        <v>5.9866935192808004</v>
      </c>
      <c r="O20" s="18">
        <v>3.8379238307973771</v>
      </c>
      <c r="P20" s="18">
        <v>4.9692076746708587</v>
      </c>
      <c r="Q20" s="18">
        <v>3.5954183121948375</v>
      </c>
      <c r="R20" s="18">
        <v>4.4535231578343284</v>
      </c>
      <c r="S20" s="18">
        <v>4.2212544488365156</v>
      </c>
      <c r="T20" s="18">
        <v>4.6484204083711989</v>
      </c>
      <c r="U20" s="18">
        <v>4.3958376795938463</v>
      </c>
      <c r="V20" s="18">
        <v>4.6784599639987379</v>
      </c>
      <c r="W20" s="18">
        <v>5.0073106684185111</v>
      </c>
      <c r="X20" s="18">
        <v>5.3077861456350988</v>
      </c>
    </row>
    <row r="21" spans="1:24" s="14" customFormat="1" x14ac:dyDescent="0.2">
      <c r="A21" s="4" t="s">
        <v>6</v>
      </c>
      <c r="B21" s="6" t="s">
        <v>13</v>
      </c>
      <c r="C21" s="4" t="s">
        <v>48</v>
      </c>
      <c r="D21" s="99">
        <v>40</v>
      </c>
      <c r="E21" s="11">
        <v>240</v>
      </c>
      <c r="F21" s="12">
        <v>926</v>
      </c>
      <c r="G21" s="13">
        <v>6.5</v>
      </c>
      <c r="H21" s="18">
        <v>4.6493161756100978</v>
      </c>
      <c r="I21" s="18">
        <v>3.5085187656245806</v>
      </c>
      <c r="J21" s="18">
        <v>4.154603333654701</v>
      </c>
      <c r="K21" s="18">
        <v>3.129691426807836</v>
      </c>
      <c r="L21" s="18">
        <v>5.4062019423475274</v>
      </c>
      <c r="M21" s="18">
        <v>4.6299977162373684</v>
      </c>
      <c r="N21" s="18">
        <v>4.8654695523659202</v>
      </c>
      <c r="O21" s="18">
        <v>4.004680101425568</v>
      </c>
      <c r="P21" s="18">
        <v>4.9604278754555491</v>
      </c>
      <c r="Q21" s="18">
        <v>3.54184163108454</v>
      </c>
      <c r="R21" s="18">
        <v>4.2436482287795902</v>
      </c>
      <c r="S21" s="18">
        <v>3.9297621057240648</v>
      </c>
      <c r="T21" s="18">
        <v>4.0833726794719611</v>
      </c>
      <c r="U21" s="18">
        <v>4.3242801033997251</v>
      </c>
      <c r="V21" s="18">
        <v>4.3827332525962062</v>
      </c>
      <c r="W21" s="18">
        <v>4.8702844045477365</v>
      </c>
      <c r="X21" s="18">
        <v>5.3137315841547936</v>
      </c>
    </row>
    <row r="22" spans="1:24" s="14" customFormat="1" x14ac:dyDescent="0.2">
      <c r="A22" s="4" t="s">
        <v>6</v>
      </c>
      <c r="B22" s="6" t="s">
        <v>13</v>
      </c>
      <c r="C22" s="4" t="s">
        <v>48</v>
      </c>
      <c r="D22" s="99">
        <v>40</v>
      </c>
      <c r="E22" s="11">
        <v>340</v>
      </c>
      <c r="F22" s="12">
        <v>3704</v>
      </c>
      <c r="G22" s="13">
        <v>13</v>
      </c>
      <c r="H22" s="18">
        <v>4.5676277117714488</v>
      </c>
      <c r="I22" s="18">
        <v>3.4639719984955462</v>
      </c>
      <c r="J22" s="18">
        <v>4.2532614415523309</v>
      </c>
      <c r="K22" s="18">
        <v>3.4915434674530021</v>
      </c>
      <c r="L22" s="18">
        <v>5.2807858184855609</v>
      </c>
      <c r="M22" s="18">
        <v>3.7003344063547861</v>
      </c>
      <c r="N22" s="18">
        <v>5.0579244236520493</v>
      </c>
      <c r="O22" s="18">
        <v>4.5655069013385763</v>
      </c>
      <c r="P22" s="18">
        <v>4.4537339914771916</v>
      </c>
      <c r="Q22" s="18">
        <v>3.5709640389751618</v>
      </c>
      <c r="R22" s="18">
        <v>4.8948035791234759</v>
      </c>
      <c r="S22" s="18">
        <v>4.8778022542278698</v>
      </c>
      <c r="T22" s="18">
        <v>4.1566340770381389</v>
      </c>
      <c r="U22" s="18">
        <v>4.3442963055697614</v>
      </c>
      <c r="V22" s="18">
        <v>5.1230434631679174</v>
      </c>
      <c r="W22" s="18">
        <v>4.756980222824291</v>
      </c>
      <c r="X22" s="18">
        <v>4.942288973357182</v>
      </c>
    </row>
    <row r="23" spans="1:24" s="14" customFormat="1" x14ac:dyDescent="0.2">
      <c r="A23" s="4" t="s">
        <v>6</v>
      </c>
      <c r="B23" s="20" t="s">
        <v>49</v>
      </c>
      <c r="C23" s="20" t="s">
        <v>15</v>
      </c>
      <c r="D23" s="99">
        <v>47</v>
      </c>
      <c r="E23" s="11">
        <v>147</v>
      </c>
      <c r="F23" s="12">
        <v>500</v>
      </c>
      <c r="G23" s="13">
        <v>2</v>
      </c>
      <c r="H23" s="18">
        <v>4.5185217463651952</v>
      </c>
      <c r="I23" s="18">
        <v>4.1447831843890333</v>
      </c>
      <c r="J23" s="18">
        <v>4.6340489903295294</v>
      </c>
      <c r="K23" s="18">
        <v>4.1372478201479925</v>
      </c>
      <c r="L23" s="18">
        <v>5.0681694351359505</v>
      </c>
      <c r="M23" s="18">
        <v>5.4857401001063302</v>
      </c>
      <c r="N23" s="18">
        <v>4.6741298893027352</v>
      </c>
      <c r="O23" s="18">
        <v>3.6178204272933989</v>
      </c>
      <c r="P23" s="18">
        <v>3.8082254967096292</v>
      </c>
      <c r="Q23" s="18">
        <v>5.0727567678495031</v>
      </c>
      <c r="R23" s="18">
        <v>4.5185559811778404</v>
      </c>
      <c r="S23" s="18">
        <v>3.7887052695875107</v>
      </c>
      <c r="T23" s="18">
        <v>5.1026082174830965</v>
      </c>
      <c r="U23" s="18">
        <v>4.4914164035701782</v>
      </c>
      <c r="V23" s="18">
        <v>5.1839086167971242</v>
      </c>
      <c r="W23" s="18">
        <v>5.2401219001438726</v>
      </c>
      <c r="X23" s="18">
        <v>4.9587571431261486</v>
      </c>
    </row>
    <row r="24" spans="1:24" s="14" customFormat="1" x14ac:dyDescent="0.2">
      <c r="A24" s="4" t="s">
        <v>6</v>
      </c>
      <c r="B24" s="20" t="s">
        <v>49</v>
      </c>
      <c r="C24" s="20" t="s">
        <v>15</v>
      </c>
      <c r="D24" s="99">
        <v>47</v>
      </c>
      <c r="E24" s="11">
        <v>247</v>
      </c>
      <c r="F24" s="12">
        <v>926</v>
      </c>
      <c r="G24" s="13">
        <v>4.5</v>
      </c>
      <c r="H24" s="18">
        <v>4.3912293292865368</v>
      </c>
      <c r="I24" s="18">
        <v>4.3254137399240165</v>
      </c>
      <c r="J24" s="18">
        <v>4.361239536058565</v>
      </c>
      <c r="K24" s="18">
        <v>4.0675579057390854</v>
      </c>
      <c r="L24" s="18">
        <v>4.7798161945910467</v>
      </c>
      <c r="M24" s="18">
        <v>5.343993983094057</v>
      </c>
      <c r="N24" s="18">
        <v>4.7800514151842002</v>
      </c>
      <c r="O24" s="18">
        <v>3.6204895226306943</v>
      </c>
      <c r="P24" s="18">
        <v>4.5739395366510882</v>
      </c>
      <c r="Q24" s="18">
        <v>4.8687042572899362</v>
      </c>
      <c r="R24" s="18">
        <v>3.3880635556188476</v>
      </c>
      <c r="S24" s="18">
        <v>2.4078383025364691</v>
      </c>
      <c r="T24" s="18">
        <v>3.8489817909511292</v>
      </c>
      <c r="U24" s="18">
        <v>4.6605141294018084</v>
      </c>
      <c r="V24" s="18">
        <v>5.4812358471604519</v>
      </c>
      <c r="W24" s="18">
        <v>4.8236510816859957</v>
      </c>
      <c r="X24" s="18">
        <v>4.9072821351063656</v>
      </c>
    </row>
    <row r="25" spans="1:24" s="14" customFormat="1" x14ac:dyDescent="0.2">
      <c r="A25" s="4" t="s">
        <v>6</v>
      </c>
      <c r="B25" s="20" t="s">
        <v>49</v>
      </c>
      <c r="C25" s="20" t="s">
        <v>15</v>
      </c>
      <c r="D25" s="99">
        <v>47</v>
      </c>
      <c r="E25" s="11">
        <v>347</v>
      </c>
      <c r="F25" s="12">
        <v>3704</v>
      </c>
      <c r="G25" s="13">
        <v>9</v>
      </c>
      <c r="H25" s="18">
        <v>4.3781259120352169</v>
      </c>
      <c r="I25" s="18">
        <v>4.2738505665835538</v>
      </c>
      <c r="J25" s="18">
        <v>4.554128038813742</v>
      </c>
      <c r="K25" s="18">
        <v>4.2623757640690023</v>
      </c>
      <c r="L25" s="18">
        <v>4.9189747364790346</v>
      </c>
      <c r="M25" s="18">
        <v>5.4762750697835285</v>
      </c>
      <c r="N25" s="18">
        <v>4.4539686757823711</v>
      </c>
      <c r="O25" s="18">
        <v>3.5434760939008134</v>
      </c>
      <c r="P25" s="18">
        <v>4.4109422037146579</v>
      </c>
      <c r="Q25" s="18">
        <v>4.4451842033295774</v>
      </c>
      <c r="R25" s="18">
        <v>3.9476640622226729</v>
      </c>
      <c r="S25" s="18">
        <v>2.6863962302548554</v>
      </c>
      <c r="T25" s="18">
        <v>3.84608035067453</v>
      </c>
      <c r="U25" s="18">
        <v>4.5008903538426228</v>
      </c>
      <c r="V25" s="18">
        <v>5.3616162719752829</v>
      </c>
      <c r="W25" s="18">
        <v>4.7343330882466317</v>
      </c>
      <c r="X25" s="18">
        <v>5.2790498496460758</v>
      </c>
    </row>
    <row r="26" spans="1:24" s="14" customFormat="1" x14ac:dyDescent="0.2">
      <c r="A26" s="4" t="s">
        <v>6</v>
      </c>
      <c r="B26" s="14" t="s">
        <v>50</v>
      </c>
      <c r="C26" s="14" t="s">
        <v>51</v>
      </c>
      <c r="D26" s="99">
        <v>53</v>
      </c>
      <c r="E26" s="11">
        <v>153</v>
      </c>
      <c r="F26" s="12">
        <v>500</v>
      </c>
      <c r="G26" s="13">
        <v>5</v>
      </c>
      <c r="H26" s="18">
        <v>4.5366331091167815</v>
      </c>
      <c r="I26" s="18">
        <v>4.2280526305555144</v>
      </c>
      <c r="J26" s="18">
        <v>4.5032721798188815</v>
      </c>
      <c r="K26" s="18">
        <v>3.6825150092825774</v>
      </c>
      <c r="L26" s="18">
        <v>5.0307828288290519</v>
      </c>
      <c r="M26" s="18">
        <v>5.2106781470581263</v>
      </c>
      <c r="N26" s="18">
        <v>5.4780647276023204</v>
      </c>
      <c r="O26" s="18">
        <v>4.9291861644720543</v>
      </c>
      <c r="P26" s="18">
        <v>3.930945559720942</v>
      </c>
      <c r="Q26" s="18">
        <v>4.4528987183828681</v>
      </c>
      <c r="R26" s="18">
        <v>3.50373988149975</v>
      </c>
      <c r="S26" s="18">
        <v>3.9632229952407014</v>
      </c>
      <c r="T26" s="18">
        <v>4.1061887227715568</v>
      </c>
      <c r="U26" s="18">
        <v>4.6644219376245779</v>
      </c>
      <c r="V26" s="18">
        <v>5.2446827928503392</v>
      </c>
      <c r="W26" s="18">
        <v>4.934352858079273</v>
      </c>
      <c r="X26" s="18">
        <v>4.8156087866856065</v>
      </c>
    </row>
    <row r="27" spans="1:24" s="14" customFormat="1" x14ac:dyDescent="0.2">
      <c r="A27" s="4" t="s">
        <v>6</v>
      </c>
      <c r="B27" s="14" t="s">
        <v>50</v>
      </c>
      <c r="C27" s="14" t="s">
        <v>51</v>
      </c>
      <c r="D27" s="99">
        <v>53</v>
      </c>
      <c r="E27" s="11">
        <v>253</v>
      </c>
      <c r="F27" s="12">
        <v>926</v>
      </c>
      <c r="G27" s="13">
        <v>6</v>
      </c>
      <c r="H27" s="18">
        <v>4.4185682921779614</v>
      </c>
      <c r="I27" s="18">
        <v>3.9657498901235941</v>
      </c>
      <c r="J27" s="18">
        <v>4.4028133751730962</v>
      </c>
      <c r="K27" s="18">
        <v>2.8768598934525325</v>
      </c>
      <c r="L27" s="18">
        <v>5.0487554806050241</v>
      </c>
      <c r="M27" s="18">
        <v>4.6669374928456717</v>
      </c>
      <c r="N27" s="18">
        <v>5.2727916647550845</v>
      </c>
      <c r="O27" s="18">
        <v>5.0342279007976423</v>
      </c>
      <c r="P27" s="18">
        <v>4.017999209459151</v>
      </c>
      <c r="Q27" s="18">
        <v>4.5538599809149671</v>
      </c>
      <c r="R27" s="18">
        <v>3.4796429673688887</v>
      </c>
      <c r="S27" s="18">
        <v>3.7119122652034431</v>
      </c>
      <c r="T27" s="18">
        <v>3.9014217470385288</v>
      </c>
      <c r="U27" s="18">
        <v>4.2477536850282736</v>
      </c>
      <c r="V27" s="18">
        <v>5.2846424348422536</v>
      </c>
      <c r="W27" s="18">
        <v>5.0228730033142641</v>
      </c>
      <c r="X27" s="18">
        <v>4.8252418974538305</v>
      </c>
    </row>
    <row r="28" spans="1:24" s="14" customFormat="1" x14ac:dyDescent="0.2">
      <c r="A28" s="4" t="s">
        <v>6</v>
      </c>
      <c r="B28" s="14" t="s">
        <v>50</v>
      </c>
      <c r="C28" s="14" t="s">
        <v>51</v>
      </c>
      <c r="D28" s="99">
        <v>53</v>
      </c>
      <c r="E28" s="11">
        <v>353</v>
      </c>
      <c r="F28" s="12">
        <v>3704</v>
      </c>
      <c r="G28" s="13">
        <v>12</v>
      </c>
      <c r="H28" s="18">
        <v>4.4475234421497891</v>
      </c>
      <c r="I28" s="18">
        <v>3.9102996157290626</v>
      </c>
      <c r="J28" s="18">
        <v>4.3881948728291205</v>
      </c>
      <c r="K28" s="18">
        <v>4.1409713175072973</v>
      </c>
      <c r="L28" s="18">
        <v>4.7030503641152217</v>
      </c>
      <c r="M28" s="18">
        <v>4.6995875205974142</v>
      </c>
      <c r="N28" s="18">
        <v>5.9067510494745026</v>
      </c>
      <c r="O28" s="18">
        <v>4.1521626301853711</v>
      </c>
      <c r="P28" s="18">
        <v>4.175531454479299</v>
      </c>
      <c r="Q28" s="18">
        <v>4.3993371732805189</v>
      </c>
      <c r="R28" s="18">
        <v>2.8968518576532021</v>
      </c>
      <c r="S28" s="18">
        <v>2.8000438757974453</v>
      </c>
      <c r="T28" s="18">
        <v>3.6057918895398062</v>
      </c>
      <c r="U28" s="18">
        <v>4.3452421472624962</v>
      </c>
      <c r="V28" s="18">
        <v>4.6260008479940486</v>
      </c>
      <c r="W28" s="18">
        <v>4.8278159047753109</v>
      </c>
      <c r="X28" s="18">
        <v>4.6496934545710955</v>
      </c>
    </row>
    <row r="29" spans="1:24" s="14" customFormat="1" x14ac:dyDescent="0.2">
      <c r="A29" s="4" t="s">
        <v>6</v>
      </c>
      <c r="B29" s="14" t="s">
        <v>49</v>
      </c>
      <c r="C29" s="14" t="s">
        <v>52</v>
      </c>
      <c r="D29" s="99">
        <v>56</v>
      </c>
      <c r="E29" s="11">
        <v>156</v>
      </c>
      <c r="F29" s="12">
        <v>500</v>
      </c>
      <c r="G29" s="13">
        <v>2.5</v>
      </c>
      <c r="H29" s="18">
        <v>5.0483125342278194</v>
      </c>
      <c r="I29" s="18">
        <v>4.3431960127568621</v>
      </c>
      <c r="J29" s="18">
        <v>4.4252830028000512</v>
      </c>
      <c r="K29" s="18">
        <v>3.818616264892305</v>
      </c>
      <c r="L29" s="18">
        <v>4.9577526688352318</v>
      </c>
      <c r="M29" s="18">
        <v>4.7485002818896254</v>
      </c>
      <c r="N29" s="18">
        <v>5.6987721524007977</v>
      </c>
      <c r="O29" s="18">
        <v>5.591890288309096</v>
      </c>
      <c r="P29" s="18">
        <v>4.5724574974249119</v>
      </c>
      <c r="Q29" s="18">
        <v>3.726782805788047</v>
      </c>
      <c r="R29" s="18">
        <v>3.6642739853273896</v>
      </c>
      <c r="S29" s="18">
        <v>4.3139340920637199</v>
      </c>
      <c r="T29" s="18">
        <v>3.9361940372901247</v>
      </c>
      <c r="U29" s="18">
        <v>4.4482186613304888</v>
      </c>
      <c r="V29" s="18">
        <v>3.7632962823852374</v>
      </c>
      <c r="W29" s="18">
        <v>5.6254280240404553</v>
      </c>
      <c r="X29" s="18">
        <v>5.1265165803410238</v>
      </c>
    </row>
    <row r="30" spans="1:24" s="14" customFormat="1" x14ac:dyDescent="0.2">
      <c r="A30" s="4" t="s">
        <v>6</v>
      </c>
      <c r="B30" s="14" t="s">
        <v>49</v>
      </c>
      <c r="C30" s="14" t="s">
        <v>52</v>
      </c>
      <c r="D30" s="99">
        <v>56</v>
      </c>
      <c r="E30" s="11">
        <v>256</v>
      </c>
      <c r="F30" s="12">
        <v>926</v>
      </c>
      <c r="G30" s="13">
        <v>5</v>
      </c>
      <c r="H30" s="18">
        <v>4.8287885709935052</v>
      </c>
      <c r="I30" s="18">
        <v>4.1334487303081486</v>
      </c>
      <c r="J30" s="18">
        <v>4.2003564814076526</v>
      </c>
      <c r="K30" s="18">
        <v>4.0645528502373764</v>
      </c>
      <c r="L30" s="18">
        <v>5.1819607935778125</v>
      </c>
      <c r="M30" s="18">
        <v>4.6541408748927289</v>
      </c>
      <c r="N30" s="18">
        <v>5.399593730390337</v>
      </c>
      <c r="O30" s="18">
        <v>5.6454619700492055</v>
      </c>
      <c r="P30" s="18">
        <v>4.4117994174939481</v>
      </c>
      <c r="Q30" s="18">
        <v>4.3953407113745575</v>
      </c>
      <c r="R30" s="18">
        <v>3.4108982505667771</v>
      </c>
      <c r="S30" s="18">
        <v>3.0572471918993975</v>
      </c>
      <c r="T30" s="18">
        <v>3.745254040564284</v>
      </c>
      <c r="U30" s="18">
        <v>4.3316439616124693</v>
      </c>
      <c r="V30" s="18">
        <v>4.0350702327776791</v>
      </c>
      <c r="W30" s="18">
        <v>4.902295835774825</v>
      </c>
      <c r="X30" s="18">
        <v>5.3519690578041041</v>
      </c>
    </row>
    <row r="31" spans="1:24" s="14" customFormat="1" x14ac:dyDescent="0.2">
      <c r="A31" s="4" t="s">
        <v>6</v>
      </c>
      <c r="B31" s="14" t="s">
        <v>49</v>
      </c>
      <c r="C31" s="14" t="s">
        <v>52</v>
      </c>
      <c r="D31" s="99">
        <v>56</v>
      </c>
      <c r="E31" s="11">
        <v>356</v>
      </c>
      <c r="F31" s="12">
        <v>3704</v>
      </c>
      <c r="G31" s="13">
        <v>16</v>
      </c>
      <c r="H31" s="18">
        <v>4.5024702437598174</v>
      </c>
      <c r="I31" s="18">
        <v>4.1119262967828121</v>
      </c>
      <c r="J31" s="18">
        <v>4.2177620552761379</v>
      </c>
      <c r="K31" s="18">
        <v>3.4413089604744624</v>
      </c>
      <c r="L31" s="18">
        <v>4.6413941902302236</v>
      </c>
      <c r="M31" s="18">
        <v>4.8247420621999497</v>
      </c>
      <c r="N31" s="18">
        <v>5.3667673598746592</v>
      </c>
      <c r="O31" s="18">
        <v>5.210644403867434</v>
      </c>
      <c r="P31" s="18">
        <v>3.610262310188201</v>
      </c>
      <c r="Q31" s="18">
        <v>4.5121791941991178</v>
      </c>
      <c r="R31" s="18">
        <v>3.4079214052248941</v>
      </c>
      <c r="S31" s="18">
        <v>4.0138132874070243</v>
      </c>
      <c r="T31" s="18">
        <v>3.2776460580301894</v>
      </c>
      <c r="U31" s="18">
        <v>4.3019634853372466</v>
      </c>
      <c r="V31" s="18">
        <v>4.2286667796697275</v>
      </c>
      <c r="W31" s="18">
        <v>4.8062941111377704</v>
      </c>
      <c r="X31" s="18">
        <v>5.1516612584408756</v>
      </c>
    </row>
    <row r="32" spans="1:24" s="14" customFormat="1" x14ac:dyDescent="0.2">
      <c r="A32" s="4" t="s">
        <v>6</v>
      </c>
      <c r="B32" s="14" t="s">
        <v>16</v>
      </c>
      <c r="C32" s="14" t="s">
        <v>17</v>
      </c>
      <c r="D32" s="99">
        <v>59</v>
      </c>
      <c r="E32" s="11">
        <v>159</v>
      </c>
      <c r="F32" s="12">
        <v>500</v>
      </c>
      <c r="G32" s="13">
        <v>2.5</v>
      </c>
      <c r="H32" s="18">
        <v>5.4203552426547699</v>
      </c>
      <c r="I32" s="18">
        <v>3.8644237698965234</v>
      </c>
      <c r="J32" s="18">
        <v>4.7090714566382221</v>
      </c>
      <c r="K32" s="18">
        <v>3.8917160000136941</v>
      </c>
      <c r="L32" s="18">
        <v>6.6453442349230079</v>
      </c>
      <c r="M32" s="18">
        <v>5.676031851647247</v>
      </c>
      <c r="N32" s="18">
        <v>5.5768587694197569</v>
      </c>
      <c r="O32" s="18">
        <v>6.9927377860693731</v>
      </c>
      <c r="P32" s="18">
        <v>5.7094794728079838</v>
      </c>
      <c r="Q32" s="18">
        <v>4.3236508208809639</v>
      </c>
      <c r="R32" s="18">
        <v>5.881178917915685</v>
      </c>
      <c r="S32" s="18">
        <v>4.7950546453519278</v>
      </c>
      <c r="T32" s="18">
        <v>2.6023989616506866</v>
      </c>
      <c r="U32" s="18">
        <v>4.286396120955426</v>
      </c>
      <c r="V32" s="18">
        <v>4.5854644456684692</v>
      </c>
      <c r="W32" s="18">
        <v>5.1335705283245128</v>
      </c>
      <c r="X32" s="18">
        <v>5.2113833392938531</v>
      </c>
    </row>
    <row r="33" spans="1:24" s="14" customFormat="1" x14ac:dyDescent="0.2">
      <c r="A33" s="4" t="s">
        <v>6</v>
      </c>
      <c r="B33" s="14" t="s">
        <v>16</v>
      </c>
      <c r="C33" s="14" t="s">
        <v>17</v>
      </c>
      <c r="D33" s="99">
        <v>59</v>
      </c>
      <c r="E33" s="11">
        <v>259</v>
      </c>
      <c r="F33" s="12">
        <v>926</v>
      </c>
      <c r="G33" s="13">
        <v>5</v>
      </c>
      <c r="H33" s="18">
        <v>4.7862726085488179</v>
      </c>
      <c r="I33" s="18">
        <v>3.9108562607474648</v>
      </c>
      <c r="J33" s="18">
        <v>4.6374457657788604</v>
      </c>
      <c r="K33" s="18">
        <v>4.3225635350235736</v>
      </c>
      <c r="L33" s="18">
        <v>6.5236691831949196</v>
      </c>
      <c r="M33" s="18">
        <v>5.3239936914621344</v>
      </c>
      <c r="N33" s="18">
        <v>5.7186117442393192</v>
      </c>
      <c r="O33" s="18">
        <v>6.1218103663892922</v>
      </c>
      <c r="P33" s="18">
        <v>3.9794215785204154</v>
      </c>
      <c r="Q33" s="18">
        <v>4.5737662205608132</v>
      </c>
      <c r="R33" s="18">
        <v>6.0016368729445695</v>
      </c>
      <c r="S33" s="18">
        <v>3.5879962318720913</v>
      </c>
      <c r="T33" s="18">
        <v>3.5552622704293322</v>
      </c>
      <c r="U33" s="18">
        <v>4.5726208473126233</v>
      </c>
      <c r="V33" s="18">
        <v>4.1283771758053325</v>
      </c>
      <c r="W33" s="18">
        <v>5.1691611435716007</v>
      </c>
      <c r="X33" s="18">
        <v>5.5349775830528749</v>
      </c>
    </row>
    <row r="34" spans="1:24" s="14" customFormat="1" x14ac:dyDescent="0.2">
      <c r="A34" s="4" t="s">
        <v>6</v>
      </c>
      <c r="B34" s="14" t="s">
        <v>16</v>
      </c>
      <c r="C34" s="14" t="s">
        <v>17</v>
      </c>
      <c r="D34" s="99">
        <v>59</v>
      </c>
      <c r="E34" s="11">
        <v>359</v>
      </c>
      <c r="F34" s="12">
        <v>3704</v>
      </c>
      <c r="G34" s="13">
        <v>16</v>
      </c>
      <c r="H34" s="18">
        <v>4.7821856356765977</v>
      </c>
      <c r="I34" s="18">
        <v>3.7653297030154298</v>
      </c>
      <c r="J34" s="18">
        <v>4.0538856005838859</v>
      </c>
      <c r="K34" s="18">
        <v>4.8867955680206299</v>
      </c>
      <c r="L34" s="18">
        <v>6.3445538379235371</v>
      </c>
      <c r="M34" s="18">
        <v>4.6084949077295461</v>
      </c>
      <c r="N34" s="18">
        <v>6.1107978763054138</v>
      </c>
      <c r="O34" s="18">
        <v>5.8022071056489688</v>
      </c>
      <c r="P34" s="18">
        <v>3.8005776936259101</v>
      </c>
      <c r="Q34" s="18">
        <v>4.4735324761879713</v>
      </c>
      <c r="R34" s="18">
        <v>3.0039055962159265</v>
      </c>
      <c r="S34" s="18">
        <v>4.3643208707623966</v>
      </c>
      <c r="T34" s="18">
        <v>3.2640773132201608</v>
      </c>
      <c r="U34" s="18">
        <v>4.3290902510340707</v>
      </c>
      <c r="V34" s="18">
        <v>3.4302647707089085</v>
      </c>
      <c r="W34" s="18">
        <v>5.6667877878657364</v>
      </c>
      <c r="X34" s="18">
        <v>5.198199846478528</v>
      </c>
    </row>
    <row r="35" spans="1:24" s="14" customFormat="1" x14ac:dyDescent="0.2">
      <c r="A35" s="4" t="s">
        <v>6</v>
      </c>
      <c r="B35" s="14" t="s">
        <v>16</v>
      </c>
      <c r="C35" s="14" t="s">
        <v>18</v>
      </c>
      <c r="D35" s="99">
        <v>62</v>
      </c>
      <c r="E35" s="11">
        <v>162</v>
      </c>
      <c r="F35" s="12">
        <v>500</v>
      </c>
      <c r="G35" s="13">
        <v>2.5</v>
      </c>
      <c r="H35" s="18">
        <v>6.5209099853379673</v>
      </c>
      <c r="I35" s="18">
        <v>6.5012680042280495</v>
      </c>
      <c r="J35" s="18">
        <v>6.7589206722662549</v>
      </c>
      <c r="K35" s="18">
        <v>4.3770458560180021</v>
      </c>
      <c r="L35" s="18">
        <v>7.0655318310295741</v>
      </c>
      <c r="M35" s="18">
        <v>5.1077780670609485</v>
      </c>
      <c r="N35" s="18">
        <v>5.5861025384771406</v>
      </c>
      <c r="O35" s="18">
        <v>5.5630159934383716</v>
      </c>
      <c r="P35" s="18">
        <v>6.3816990952939348</v>
      </c>
      <c r="Q35" s="18">
        <v>4.3057290878740799</v>
      </c>
      <c r="R35" s="18">
        <v>5.7771960339942785</v>
      </c>
      <c r="S35" s="18">
        <v>4.6441465710942804</v>
      </c>
      <c r="T35" s="18">
        <v>3.8824629641671549</v>
      </c>
      <c r="U35" s="18">
        <v>5.2304265894862541</v>
      </c>
      <c r="V35" s="18">
        <v>3.0820014685647679</v>
      </c>
      <c r="W35" s="18">
        <v>5.576750797883931</v>
      </c>
      <c r="X35" s="18">
        <v>5.7140320443715833</v>
      </c>
    </row>
    <row r="36" spans="1:24" s="14" customFormat="1" x14ac:dyDescent="0.2">
      <c r="A36" s="4" t="s">
        <v>6</v>
      </c>
      <c r="B36" s="14" t="s">
        <v>16</v>
      </c>
      <c r="C36" s="14" t="s">
        <v>18</v>
      </c>
      <c r="D36" s="99">
        <v>62</v>
      </c>
      <c r="E36" s="11">
        <v>262</v>
      </c>
      <c r="F36" s="12">
        <v>926</v>
      </c>
      <c r="G36" s="13">
        <v>5</v>
      </c>
      <c r="H36" s="18">
        <v>5.8880843897558952</v>
      </c>
      <c r="I36" s="18">
        <v>6.3223937191662234</v>
      </c>
      <c r="J36" s="18">
        <v>6.1403580912239981</v>
      </c>
      <c r="K36" s="18">
        <v>5.5501469817386262</v>
      </c>
      <c r="L36" s="18">
        <v>7.5058721571778504</v>
      </c>
      <c r="M36" s="18">
        <v>5.4873716498412355</v>
      </c>
      <c r="N36" s="18">
        <v>6.1247057923094008</v>
      </c>
      <c r="O36" s="18">
        <v>6.1699846113775978</v>
      </c>
      <c r="P36" s="18">
        <v>6.3893225164631078</v>
      </c>
      <c r="Q36" s="18">
        <v>5.1416622445149693</v>
      </c>
      <c r="R36" s="18">
        <v>5.8489633473193674</v>
      </c>
      <c r="S36" s="18">
        <v>4.2029966971186639</v>
      </c>
      <c r="T36" s="18">
        <v>5.8129556059127632</v>
      </c>
      <c r="U36" s="18">
        <v>4.8750404012168413</v>
      </c>
      <c r="V36" s="18">
        <v>5.5507653286044896</v>
      </c>
      <c r="W36" s="18">
        <v>6.3752873783228869</v>
      </c>
      <c r="X36" s="18">
        <v>6.2889033491899538</v>
      </c>
    </row>
    <row r="37" spans="1:24" s="14" customFormat="1" x14ac:dyDescent="0.2">
      <c r="A37" s="4" t="s">
        <v>6</v>
      </c>
      <c r="B37" s="14" t="s">
        <v>16</v>
      </c>
      <c r="C37" s="14" t="s">
        <v>18</v>
      </c>
      <c r="D37" s="99">
        <v>62</v>
      </c>
      <c r="E37" s="11">
        <v>362</v>
      </c>
      <c r="F37" s="12">
        <v>3704</v>
      </c>
      <c r="G37" s="13">
        <v>17</v>
      </c>
      <c r="H37" s="18">
        <v>5.2854730761262516</v>
      </c>
      <c r="I37" s="18">
        <v>6.0158929976631583</v>
      </c>
      <c r="J37" s="18">
        <v>4.4214586287895177</v>
      </c>
      <c r="K37" s="18">
        <v>5.2152696271371877</v>
      </c>
      <c r="L37" s="18">
        <v>4.8892026212196562</v>
      </c>
      <c r="M37" s="18">
        <v>4.4771207806775415</v>
      </c>
      <c r="N37" s="18">
        <v>6.2684252178835633</v>
      </c>
      <c r="O37" s="18">
        <v>7.4532703870073593</v>
      </c>
      <c r="P37" s="18">
        <v>4.0151244745613255</v>
      </c>
      <c r="Q37" s="18">
        <v>4.436061851110944</v>
      </c>
      <c r="R37" s="18">
        <v>2.6420725621339622</v>
      </c>
      <c r="S37" s="18">
        <v>5.1128141249962198</v>
      </c>
      <c r="T37" s="18">
        <v>3.7681577023625565</v>
      </c>
      <c r="U37" s="18">
        <v>4.3340495930224119</v>
      </c>
      <c r="V37" s="18">
        <v>5.0962142870932139</v>
      </c>
      <c r="W37" s="18">
        <v>5.9637211918142414</v>
      </c>
      <c r="X37" s="18">
        <v>5.8184608417189096</v>
      </c>
    </row>
    <row r="38" spans="1:24" s="14" customFormat="1" x14ac:dyDescent="0.2">
      <c r="A38" s="4" t="s">
        <v>6</v>
      </c>
      <c r="B38" s="14" t="s">
        <v>16</v>
      </c>
      <c r="C38" s="14" t="s">
        <v>53</v>
      </c>
      <c r="D38" s="99">
        <v>64</v>
      </c>
      <c r="E38" s="11">
        <v>164</v>
      </c>
      <c r="F38" s="12">
        <v>500</v>
      </c>
      <c r="G38" s="13">
        <v>2.5</v>
      </c>
      <c r="H38" s="18">
        <v>4.8008586399232893</v>
      </c>
      <c r="I38" s="18">
        <v>5.6517375187031069</v>
      </c>
      <c r="J38" s="18">
        <v>6.1114681282439047</v>
      </c>
      <c r="K38" s="18">
        <v>5.7491413931859094</v>
      </c>
      <c r="L38" s="18">
        <v>5.860928363003632</v>
      </c>
      <c r="M38" s="18">
        <v>5.6309530454505561</v>
      </c>
      <c r="N38" s="18">
        <v>6.1598410766112632</v>
      </c>
      <c r="O38" s="18">
        <v>6.3691569304273248</v>
      </c>
      <c r="P38" s="18">
        <v>5.9624374228319494</v>
      </c>
      <c r="Q38" s="18">
        <v>4.0990661892087576</v>
      </c>
      <c r="R38" s="18">
        <v>5.417399562060762</v>
      </c>
      <c r="S38" s="18">
        <v>5.5869667120606179</v>
      </c>
      <c r="T38" s="18">
        <v>5.9292922469226292</v>
      </c>
      <c r="U38" s="18">
        <v>5.8052893847317595</v>
      </c>
      <c r="V38" s="18">
        <v>3.9314948610546803</v>
      </c>
      <c r="W38" s="18">
        <v>5.9317643346571085</v>
      </c>
      <c r="X38" s="18">
        <v>5.6349989347584639</v>
      </c>
    </row>
    <row r="39" spans="1:24" s="14" customFormat="1" x14ac:dyDescent="0.2">
      <c r="A39" s="4" t="s">
        <v>6</v>
      </c>
      <c r="B39" s="14" t="s">
        <v>16</v>
      </c>
      <c r="C39" s="14" t="s">
        <v>53</v>
      </c>
      <c r="D39" s="99">
        <v>64</v>
      </c>
      <c r="E39" s="11">
        <v>264</v>
      </c>
      <c r="F39" s="12">
        <v>926</v>
      </c>
      <c r="G39" s="13">
        <v>9.5</v>
      </c>
      <c r="H39" s="18">
        <v>5.2227977302492965</v>
      </c>
      <c r="I39" s="18">
        <v>5.2823350393843755</v>
      </c>
      <c r="J39" s="18">
        <v>5.3043889682133383</v>
      </c>
      <c r="K39" s="18">
        <v>5.4790541132871686</v>
      </c>
      <c r="L39" s="18">
        <v>5.8696666878995432</v>
      </c>
      <c r="M39" s="18">
        <v>5.9370097193549372</v>
      </c>
      <c r="N39" s="18">
        <v>6.0924971988602943</v>
      </c>
      <c r="O39" s="18">
        <v>5.9609640569396758</v>
      </c>
      <c r="P39" s="18">
        <v>5.2241666089847199</v>
      </c>
      <c r="Q39" s="18">
        <v>4.7483855910956141</v>
      </c>
      <c r="R39" s="18">
        <v>5.7101176090985453</v>
      </c>
      <c r="S39" s="18">
        <v>5.2766830352969443</v>
      </c>
      <c r="T39" s="18">
        <v>6.2698648344265964</v>
      </c>
      <c r="U39" s="18">
        <v>4.9523809199481317</v>
      </c>
      <c r="V39" s="18">
        <v>5.0623010834189541</v>
      </c>
      <c r="W39" s="18">
        <v>5.8991118206190727</v>
      </c>
      <c r="X39" s="18">
        <v>5.6585611443795001</v>
      </c>
    </row>
    <row r="40" spans="1:24" s="14" customFormat="1" x14ac:dyDescent="0.2">
      <c r="A40" s="4" t="s">
        <v>6</v>
      </c>
      <c r="B40" s="14" t="s">
        <v>16</v>
      </c>
      <c r="C40" s="14" t="s">
        <v>53</v>
      </c>
      <c r="D40" s="99">
        <v>64</v>
      </c>
      <c r="E40" s="11">
        <v>364</v>
      </c>
      <c r="F40" s="12">
        <v>3704</v>
      </c>
      <c r="G40" s="13">
        <v>19</v>
      </c>
      <c r="H40" s="18">
        <v>5.3114468809628006</v>
      </c>
      <c r="I40" s="18">
        <v>5.7244976712939497</v>
      </c>
      <c r="J40" s="18">
        <v>4.5719174554088093</v>
      </c>
      <c r="K40" s="18">
        <v>5.8689332463440289</v>
      </c>
      <c r="L40" s="18">
        <v>6.2457523343310308</v>
      </c>
      <c r="M40" s="18">
        <v>3.9988668295902428</v>
      </c>
      <c r="N40" s="18">
        <v>6.2860928190639696</v>
      </c>
      <c r="O40" s="18">
        <v>6.2753799504725736</v>
      </c>
      <c r="P40" s="18">
        <v>5.2569266147928602</v>
      </c>
      <c r="Q40" s="18">
        <v>5.3882265420552553</v>
      </c>
      <c r="R40" s="18">
        <v>5.7210189691414497</v>
      </c>
      <c r="S40" s="18">
        <v>4.8430349702003852</v>
      </c>
      <c r="T40" s="18">
        <v>4.465694614461551</v>
      </c>
      <c r="U40" s="18">
        <v>4.1426296941594796</v>
      </c>
      <c r="V40" s="18">
        <v>3.7660431718558072</v>
      </c>
      <c r="W40" s="18">
        <v>6.1967889309277915</v>
      </c>
      <c r="X40" s="18">
        <v>5.6001275086621289</v>
      </c>
    </row>
    <row r="41" spans="1:24" s="14" customFormat="1" x14ac:dyDescent="0.2">
      <c r="A41" s="4" t="s">
        <v>19</v>
      </c>
      <c r="B41" s="14" t="s">
        <v>20</v>
      </c>
      <c r="C41" s="14" t="s">
        <v>21</v>
      </c>
      <c r="D41" s="99">
        <v>68</v>
      </c>
      <c r="E41" s="11">
        <v>168</v>
      </c>
      <c r="F41" s="12">
        <v>500</v>
      </c>
      <c r="G41" s="13">
        <v>2.5</v>
      </c>
      <c r="H41" s="18">
        <v>4.9841722364526033</v>
      </c>
      <c r="I41" s="18">
        <v>4.7047685053257853</v>
      </c>
      <c r="J41" s="18">
        <v>5.8750422336319152</v>
      </c>
      <c r="K41" s="18">
        <v>3.6265586727280659</v>
      </c>
      <c r="L41" s="18">
        <v>4.9020928655991813</v>
      </c>
      <c r="M41" s="18">
        <v>5.1504778465716994</v>
      </c>
      <c r="N41" s="18">
        <v>5.8885330988462075</v>
      </c>
      <c r="O41" s="18">
        <v>5.8792217022849522</v>
      </c>
      <c r="P41" s="18">
        <v>5.6394937951549542</v>
      </c>
      <c r="Q41" s="18">
        <v>4.1347715694971328</v>
      </c>
      <c r="R41" s="18">
        <v>5.7130952155272778</v>
      </c>
      <c r="S41" s="18">
        <v>4.5754113429918197</v>
      </c>
      <c r="T41" s="18">
        <v>5.136567801559484</v>
      </c>
      <c r="U41" s="18">
        <v>5.0683295572929392</v>
      </c>
      <c r="V41" s="18">
        <v>4.6873353824386168</v>
      </c>
      <c r="W41" s="18">
        <v>5.6905868848245476</v>
      </c>
      <c r="X41" s="18">
        <v>5.4931450226837555</v>
      </c>
    </row>
    <row r="42" spans="1:24" s="14" customFormat="1" x14ac:dyDescent="0.2">
      <c r="A42" s="4" t="s">
        <v>19</v>
      </c>
      <c r="B42" s="14" t="s">
        <v>20</v>
      </c>
      <c r="C42" s="14" t="s">
        <v>21</v>
      </c>
      <c r="D42" s="99">
        <v>68</v>
      </c>
      <c r="E42" s="11">
        <v>268</v>
      </c>
      <c r="F42" s="12">
        <v>926</v>
      </c>
      <c r="G42" s="13">
        <v>8.5</v>
      </c>
      <c r="H42" s="18">
        <v>5.1800087134764068</v>
      </c>
      <c r="I42" s="18">
        <v>4.5588009989483691</v>
      </c>
      <c r="J42" s="18">
        <v>5.401427049295612</v>
      </c>
      <c r="K42" s="18">
        <v>4.1228579148520028</v>
      </c>
      <c r="L42" s="18">
        <v>5.8839503481813225</v>
      </c>
      <c r="M42" s="18">
        <v>5.2710694303898835</v>
      </c>
      <c r="N42" s="18">
        <v>5.8641028125161512</v>
      </c>
      <c r="O42" s="18">
        <v>5.8079860131753449</v>
      </c>
      <c r="P42" s="18">
        <v>6.1598368774405019</v>
      </c>
      <c r="Q42" s="18">
        <v>4.2445402333390545</v>
      </c>
      <c r="R42" s="18">
        <v>5.8371708870297203</v>
      </c>
      <c r="S42" s="18">
        <v>4.6522807675540419</v>
      </c>
      <c r="T42" s="18">
        <v>5.1753353829343869</v>
      </c>
      <c r="U42" s="18">
        <v>5.0582491328850638</v>
      </c>
      <c r="V42" s="18">
        <v>3.4061595024269837</v>
      </c>
      <c r="W42" s="18">
        <v>5.5343217788532764</v>
      </c>
      <c r="X42" s="18">
        <v>5.7227654473302092</v>
      </c>
    </row>
    <row r="43" spans="1:24" s="14" customFormat="1" x14ac:dyDescent="0.2">
      <c r="A43" s="4" t="s">
        <v>19</v>
      </c>
      <c r="B43" s="14" t="s">
        <v>20</v>
      </c>
      <c r="C43" s="14" t="s">
        <v>21</v>
      </c>
      <c r="D43" s="99">
        <v>68</v>
      </c>
      <c r="E43" s="11">
        <v>368</v>
      </c>
      <c r="F43" s="12">
        <v>3704</v>
      </c>
      <c r="G43" s="13">
        <v>16.5</v>
      </c>
      <c r="H43" s="18">
        <v>5.0285008784109158</v>
      </c>
      <c r="I43" s="18">
        <v>4.8636676649642778</v>
      </c>
      <c r="J43" s="18">
        <v>5.2348650463205182</v>
      </c>
      <c r="K43" s="18">
        <v>4.978152416390718</v>
      </c>
      <c r="L43" s="18">
        <v>6.0387456097811594</v>
      </c>
      <c r="M43" s="18">
        <v>5.4298709230780124</v>
      </c>
      <c r="N43" s="18">
        <v>6.0595424610450737</v>
      </c>
      <c r="O43" s="18">
        <v>5.3186927084436455</v>
      </c>
      <c r="P43" s="18">
        <v>6.2696372646792096</v>
      </c>
      <c r="Q43" s="18">
        <v>4.4496471219171561</v>
      </c>
      <c r="R43" s="18">
        <v>5.6550821719784938</v>
      </c>
      <c r="S43" s="18">
        <v>3.837728259610695</v>
      </c>
      <c r="T43" s="18">
        <v>5.4803178605473439</v>
      </c>
      <c r="U43" s="18">
        <v>5.6952819676943314</v>
      </c>
      <c r="V43" s="18">
        <v>4.9280001506824744</v>
      </c>
      <c r="W43" s="18">
        <v>5.5964381103765684</v>
      </c>
      <c r="X43" s="18">
        <v>5.4994218075564802</v>
      </c>
    </row>
    <row r="44" spans="1:24" s="14" customFormat="1" x14ac:dyDescent="0.2">
      <c r="A44" s="4" t="s">
        <v>19</v>
      </c>
      <c r="B44" s="14" t="s">
        <v>20</v>
      </c>
      <c r="C44" s="14" t="s">
        <v>54</v>
      </c>
      <c r="D44" s="99">
        <v>72</v>
      </c>
      <c r="E44" s="11">
        <v>172</v>
      </c>
      <c r="F44" s="12">
        <v>500</v>
      </c>
      <c r="G44" s="13">
        <v>2</v>
      </c>
      <c r="H44" s="18">
        <v>5.4179974643910178</v>
      </c>
      <c r="I44" s="18">
        <v>4.4693269377231077</v>
      </c>
      <c r="J44" s="18">
        <v>4.8724073381384772</v>
      </c>
      <c r="K44" s="18">
        <v>4.3929042661222013</v>
      </c>
      <c r="L44" s="18">
        <v>3.7132799197894713</v>
      </c>
      <c r="M44" s="18">
        <v>5.5073164439642976</v>
      </c>
      <c r="N44" s="18">
        <v>6.3174601441544045</v>
      </c>
      <c r="O44" s="18">
        <v>5.7862186532969542</v>
      </c>
      <c r="P44" s="18">
        <v>4.8945965892042933</v>
      </c>
      <c r="Q44" s="18">
        <v>3.9307797400778073</v>
      </c>
      <c r="R44" s="18">
        <v>6.2818253362621199</v>
      </c>
      <c r="S44" s="18">
        <v>5.0808805574156342</v>
      </c>
      <c r="T44" s="18">
        <v>5.5243459401836894</v>
      </c>
      <c r="U44" s="18">
        <v>5.3421099292902916</v>
      </c>
      <c r="V44" s="18">
        <v>4.0258363760907008</v>
      </c>
      <c r="W44" s="18">
        <v>5.4369418501637581</v>
      </c>
      <c r="X44" s="18">
        <v>5.7580680890387539</v>
      </c>
    </row>
    <row r="45" spans="1:24" s="14" customFormat="1" x14ac:dyDescent="0.2">
      <c r="A45" s="4" t="s">
        <v>19</v>
      </c>
      <c r="B45" s="14" t="s">
        <v>20</v>
      </c>
      <c r="C45" s="14" t="s">
        <v>54</v>
      </c>
      <c r="D45" s="99">
        <v>72</v>
      </c>
      <c r="E45" s="11">
        <v>272</v>
      </c>
      <c r="F45" s="12">
        <v>926</v>
      </c>
      <c r="G45" s="13">
        <v>3.5</v>
      </c>
      <c r="H45" s="18">
        <v>5.8493021261313887</v>
      </c>
      <c r="I45" s="18">
        <v>4.5234179830495371</v>
      </c>
      <c r="J45" s="18">
        <v>4.8962702371748161</v>
      </c>
      <c r="K45" s="18">
        <v>4.1570883247793011</v>
      </c>
      <c r="L45" s="18">
        <v>5.2718572007277169</v>
      </c>
      <c r="M45" s="18">
        <v>5.3180907398362072</v>
      </c>
      <c r="N45" s="18">
        <v>5.8456036890402245</v>
      </c>
      <c r="O45" s="18">
        <v>6.1026288414826597</v>
      </c>
      <c r="P45" s="18">
        <v>5.1633638208445936</v>
      </c>
      <c r="Q45" s="18">
        <v>4.1227045302997825</v>
      </c>
      <c r="R45" s="18">
        <v>6.1805658269609571</v>
      </c>
      <c r="S45" s="18">
        <v>4.9925203067615174</v>
      </c>
      <c r="T45" s="18">
        <v>5.9159202406046534</v>
      </c>
      <c r="U45" s="18">
        <v>5.21618821970175</v>
      </c>
      <c r="V45" s="18">
        <v>4.5637055768489461</v>
      </c>
      <c r="W45" s="18">
        <v>5.4091668687513401</v>
      </c>
      <c r="X45" s="18">
        <v>5.3843839374511102</v>
      </c>
    </row>
    <row r="46" spans="1:24" x14ac:dyDescent="0.2">
      <c r="A46" s="4" t="s">
        <v>19</v>
      </c>
      <c r="B46" s="14" t="s">
        <v>20</v>
      </c>
      <c r="C46" s="14" t="s">
        <v>54</v>
      </c>
      <c r="D46" s="99">
        <v>72</v>
      </c>
      <c r="E46" s="11">
        <v>372</v>
      </c>
      <c r="F46" s="12">
        <v>3704</v>
      </c>
      <c r="G46" s="13">
        <v>13.5</v>
      </c>
      <c r="H46" s="18">
        <v>5.8168486870531675</v>
      </c>
      <c r="I46" s="18">
        <v>6.1591506293041354</v>
      </c>
      <c r="J46" s="18">
        <v>4.8983424328335126</v>
      </c>
      <c r="K46" s="18">
        <v>4.4525956748484132</v>
      </c>
      <c r="L46" s="18">
        <v>5.7863755261842567</v>
      </c>
      <c r="M46" s="18">
        <v>5.4478015181845674</v>
      </c>
      <c r="N46" s="18">
        <v>5.4018015250385121</v>
      </c>
      <c r="O46" s="18">
        <v>6.1422472309417486</v>
      </c>
      <c r="P46" s="18">
        <v>6.3201230974836005</v>
      </c>
      <c r="Q46" s="18">
        <v>3.9627221132486712</v>
      </c>
      <c r="R46" s="18">
        <v>5.5211481509806966</v>
      </c>
      <c r="S46" s="18">
        <v>5.3397479554637153</v>
      </c>
      <c r="T46" s="18">
        <v>5.8172245716715674</v>
      </c>
      <c r="U46" s="18">
        <v>5.1148461332503521</v>
      </c>
      <c r="V46" s="18">
        <v>4.6901464810506894</v>
      </c>
      <c r="W46" s="18">
        <v>5.5916187951836571</v>
      </c>
      <c r="X46" s="18">
        <v>6.0742798523602968</v>
      </c>
    </row>
    <row r="47" spans="1:24" x14ac:dyDescent="0.2">
      <c r="A47" s="4" t="s">
        <v>19</v>
      </c>
      <c r="B47" s="15" t="s">
        <v>22</v>
      </c>
      <c r="C47" s="15" t="s">
        <v>23</v>
      </c>
      <c r="D47" s="99">
        <v>77</v>
      </c>
      <c r="E47" s="11">
        <v>177</v>
      </c>
      <c r="F47" s="12">
        <v>500</v>
      </c>
      <c r="G47" s="13">
        <v>2</v>
      </c>
      <c r="H47" s="18">
        <v>5.6665273005176173</v>
      </c>
      <c r="I47" s="18">
        <v>4.5532208147037867</v>
      </c>
      <c r="J47" s="18">
        <v>5.3538173303090542</v>
      </c>
      <c r="K47" s="18">
        <v>4.5259979763455078</v>
      </c>
      <c r="L47" s="18">
        <v>6.3508385497439335</v>
      </c>
      <c r="M47" s="18">
        <v>5.127822023414021</v>
      </c>
      <c r="N47" s="18">
        <v>5.9834859515276655</v>
      </c>
      <c r="O47" s="18">
        <v>5.8733062319196483</v>
      </c>
      <c r="P47" s="18">
        <v>5.5269152901106358</v>
      </c>
      <c r="Q47" s="18">
        <v>4.0674458694972682</v>
      </c>
      <c r="R47" s="18">
        <v>6.0467773335260944</v>
      </c>
      <c r="S47" s="18">
        <v>6.2480565214685608</v>
      </c>
      <c r="T47" s="18">
        <v>5.2134600741158161</v>
      </c>
      <c r="U47" s="18">
        <v>5.2200643792535226</v>
      </c>
      <c r="V47" s="18">
        <v>5.3014028537861551</v>
      </c>
      <c r="W47" s="18">
        <v>5.4699162817264284</v>
      </c>
      <c r="X47" s="18">
        <v>5.8699652132513371</v>
      </c>
    </row>
    <row r="48" spans="1:24" x14ac:dyDescent="0.2">
      <c r="A48" s="4" t="s">
        <v>19</v>
      </c>
      <c r="B48" s="15" t="s">
        <v>22</v>
      </c>
      <c r="C48" s="15" t="s">
        <v>23</v>
      </c>
      <c r="D48" s="99">
        <v>77</v>
      </c>
      <c r="E48" s="11">
        <v>277</v>
      </c>
      <c r="F48" s="12">
        <v>926</v>
      </c>
      <c r="G48" s="13">
        <v>4</v>
      </c>
      <c r="H48" s="18">
        <v>5.4434429672781901</v>
      </c>
      <c r="I48" s="18">
        <v>4.9307142580719221</v>
      </c>
      <c r="J48" s="18">
        <v>4.9700852599370693</v>
      </c>
      <c r="K48" s="18">
        <v>4.2343852748960096</v>
      </c>
      <c r="L48" s="18">
        <v>5.9558214609356277</v>
      </c>
      <c r="M48" s="18">
        <v>5.2841269974010521</v>
      </c>
      <c r="N48" s="18">
        <v>6.0126411562413749</v>
      </c>
      <c r="O48" s="18">
        <v>5.9551234031383302</v>
      </c>
      <c r="P48" s="18">
        <v>5.5014976955919019</v>
      </c>
      <c r="Q48" s="18">
        <v>4.5399870335274359</v>
      </c>
      <c r="R48" s="18">
        <v>5.8678113839285819</v>
      </c>
      <c r="S48" s="18">
        <v>6.5935397374405387</v>
      </c>
      <c r="T48" s="18">
        <v>5.6751314444591925</v>
      </c>
      <c r="U48" s="18">
        <v>5.6661642712269158</v>
      </c>
      <c r="V48" s="18">
        <v>5.6997367987100036</v>
      </c>
      <c r="W48" s="18">
        <v>6.5181569135137147</v>
      </c>
      <c r="X48" s="18">
        <v>5.6409000300720598</v>
      </c>
    </row>
    <row r="49" spans="1:24" x14ac:dyDescent="0.2">
      <c r="A49" s="4" t="s">
        <v>19</v>
      </c>
      <c r="B49" s="15" t="s">
        <v>22</v>
      </c>
      <c r="C49" s="15" t="s">
        <v>23</v>
      </c>
      <c r="D49" s="99">
        <v>77</v>
      </c>
      <c r="E49" s="11">
        <v>377</v>
      </c>
      <c r="F49" s="12">
        <v>3704</v>
      </c>
      <c r="G49" s="13">
        <v>13.5</v>
      </c>
      <c r="H49" s="18">
        <v>5.4070967104416452</v>
      </c>
      <c r="I49" s="18">
        <v>5.0040350396195112</v>
      </c>
      <c r="J49" s="18">
        <v>5.188865002434814</v>
      </c>
      <c r="K49" s="18">
        <v>4.8293099549988696</v>
      </c>
      <c r="L49" s="18">
        <v>5.8615163123642606</v>
      </c>
      <c r="M49" s="18">
        <v>4.9348060835894119</v>
      </c>
      <c r="N49" s="18">
        <v>6.0242707614788946</v>
      </c>
      <c r="O49" s="18">
        <v>6.0631108089167371</v>
      </c>
      <c r="P49" s="18">
        <v>5.9832493015364525</v>
      </c>
      <c r="Q49" s="18">
        <v>4.8376646037907314</v>
      </c>
      <c r="R49" s="18">
        <v>6.1353311536164901</v>
      </c>
      <c r="S49" s="18">
        <v>5.8245916912512348</v>
      </c>
      <c r="T49" s="18">
        <v>4.9494578636870461</v>
      </c>
      <c r="U49" s="18">
        <v>5.2884289495475683</v>
      </c>
      <c r="V49" s="18">
        <v>5.7812736434319181</v>
      </c>
      <c r="W49" s="18">
        <v>6.1429308922713917</v>
      </c>
      <c r="X49" s="18">
        <v>5.873350710708146</v>
      </c>
    </row>
    <row r="50" spans="1:24" ht="12.75" customHeight="1" x14ac:dyDescent="0.2">
      <c r="A50" s="4"/>
      <c r="F50" s="12"/>
      <c r="G50" s="8"/>
    </row>
    <row r="51" spans="1:24" ht="12.75" customHeight="1" x14ac:dyDescent="0.2">
      <c r="A51" s="4"/>
      <c r="F51" s="12"/>
      <c r="G51" s="8"/>
    </row>
    <row r="52" spans="1:24" ht="12.75" customHeight="1" x14ac:dyDescent="0.2">
      <c r="A52" s="4"/>
      <c r="F52" s="12"/>
      <c r="G52" s="8"/>
    </row>
    <row r="53" spans="1:24" ht="12.75" customHeight="1" x14ac:dyDescent="0.2">
      <c r="A53" s="4"/>
      <c r="F53" s="12"/>
      <c r="G53" s="9"/>
    </row>
    <row r="54" spans="1:24" ht="12.75" customHeight="1" x14ac:dyDescent="0.2">
      <c r="A54" s="4"/>
      <c r="F54" s="12"/>
      <c r="G54" s="9"/>
    </row>
    <row r="55" spans="1:24" ht="12.75" customHeight="1" x14ac:dyDescent="0.2">
      <c r="A55" s="4"/>
      <c r="F55" s="12"/>
      <c r="G55" s="9"/>
    </row>
    <row r="56" spans="1:24" x14ac:dyDescent="0.2">
      <c r="A56" s="4"/>
      <c r="F56" s="12"/>
      <c r="G56" s="9"/>
    </row>
    <row r="57" spans="1:24" x14ac:dyDescent="0.2">
      <c r="A57" s="4"/>
      <c r="F57" s="12"/>
      <c r="G57" s="9"/>
    </row>
    <row r="58" spans="1:24" x14ac:dyDescent="0.2">
      <c r="A58" s="4"/>
      <c r="F58" s="12"/>
      <c r="G58" s="9"/>
    </row>
    <row r="59" spans="1:24" x14ac:dyDescent="0.2">
      <c r="A59" s="4"/>
      <c r="F59" s="12"/>
      <c r="G59" s="9"/>
    </row>
    <row r="60" spans="1:24" x14ac:dyDescent="0.2">
      <c r="A60" s="4"/>
      <c r="F60" s="12"/>
      <c r="G60" s="9"/>
    </row>
    <row r="61" spans="1:24" x14ac:dyDescent="0.2">
      <c r="A61" s="4"/>
      <c r="F61" s="12"/>
      <c r="G61" s="9"/>
    </row>
    <row r="68" spans="2:2" x14ac:dyDescent="0.2">
      <c r="B68" s="5"/>
    </row>
    <row r="69" spans="2:2" x14ac:dyDescent="0.2">
      <c r="B69" s="5"/>
    </row>
    <row r="70" spans="2:2" x14ac:dyDescent="0.2">
      <c r="B70" s="5"/>
    </row>
    <row r="71" spans="2:2" x14ac:dyDescent="0.2">
      <c r="B71" s="5"/>
    </row>
    <row r="72" spans="2:2" x14ac:dyDescent="0.2">
      <c r="B72" s="5"/>
    </row>
    <row r="73" spans="2:2" x14ac:dyDescent="0.2">
      <c r="B73" s="5"/>
    </row>
  </sheetData>
  <phoneticPr fontId="4" type="noConversion"/>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3"/>
  <sheetViews>
    <sheetView workbookViewId="0">
      <selection activeCell="D1" sqref="D1"/>
    </sheetView>
  </sheetViews>
  <sheetFormatPr defaultRowHeight="12.75" x14ac:dyDescent="0.2"/>
  <cols>
    <col min="1" max="1" width="5.7109375" style="12" customWidth="1"/>
    <col min="2" max="2" width="22.85546875" style="15" bestFit="1" customWidth="1"/>
    <col min="3" max="3" width="38" style="15" bestFit="1" customWidth="1"/>
    <col min="4" max="4" width="9.85546875" style="12" customWidth="1"/>
    <col min="5" max="5" width="16.28515625" style="12" customWidth="1"/>
    <col min="6" max="6" width="14.140625" style="15" customWidth="1"/>
    <col min="7" max="7" width="11.28515625" style="15" bestFit="1" customWidth="1"/>
    <col min="8" max="8" width="9.140625" style="15"/>
    <col min="9" max="9" width="8.28515625" style="15" customWidth="1"/>
    <col min="10" max="10" width="8.85546875" style="15" customWidth="1"/>
    <col min="11" max="19" width="9.140625" style="15"/>
    <col min="20" max="20" width="11.7109375" style="15" customWidth="1"/>
    <col min="21" max="21" width="12.28515625" style="15" customWidth="1"/>
    <col min="22" max="22" width="9.140625" style="15"/>
    <col min="23" max="24" width="10" style="15" customWidth="1"/>
    <col min="25" max="16384" width="9.140625" style="15"/>
  </cols>
  <sheetData>
    <row r="1" spans="1:24" s="10" customFormat="1" ht="31.7" customHeight="1" x14ac:dyDescent="0.2">
      <c r="A1" s="1" t="s">
        <v>0</v>
      </c>
      <c r="B1" s="2" t="s">
        <v>1</v>
      </c>
      <c r="C1" s="1" t="s">
        <v>2</v>
      </c>
      <c r="D1" s="3" t="s">
        <v>89</v>
      </c>
      <c r="E1" s="3" t="s">
        <v>27</v>
      </c>
      <c r="F1" s="1" t="s">
        <v>4</v>
      </c>
      <c r="G1" s="1" t="s">
        <v>5</v>
      </c>
      <c r="H1" s="3" t="s">
        <v>28</v>
      </c>
      <c r="I1" s="3" t="s">
        <v>29</v>
      </c>
      <c r="J1" s="3" t="s">
        <v>30</v>
      </c>
      <c r="K1" s="3" t="s">
        <v>31</v>
      </c>
      <c r="L1" s="3" t="s">
        <v>32</v>
      </c>
      <c r="M1" s="3" t="s">
        <v>33</v>
      </c>
      <c r="N1" s="3" t="s">
        <v>35</v>
      </c>
      <c r="O1" s="3" t="s">
        <v>36</v>
      </c>
      <c r="P1" s="3" t="s">
        <v>34</v>
      </c>
      <c r="Q1" s="3" t="s">
        <v>37</v>
      </c>
      <c r="R1" s="3" t="s">
        <v>38</v>
      </c>
      <c r="S1" s="3" t="s">
        <v>39</v>
      </c>
      <c r="T1" s="3" t="s">
        <v>40</v>
      </c>
      <c r="U1" s="3" t="s">
        <v>41</v>
      </c>
      <c r="V1" s="3" t="s">
        <v>42</v>
      </c>
      <c r="W1" s="3" t="s">
        <v>43</v>
      </c>
      <c r="X1" s="3" t="s">
        <v>44</v>
      </c>
    </row>
    <row r="2" spans="1:24" s="14" customFormat="1" x14ac:dyDescent="0.2">
      <c r="A2" s="4" t="s">
        <v>6</v>
      </c>
      <c r="B2" s="6" t="s">
        <v>7</v>
      </c>
      <c r="C2" s="4" t="s">
        <v>8</v>
      </c>
      <c r="D2" s="99">
        <v>1</v>
      </c>
      <c r="E2" s="11">
        <v>101</v>
      </c>
      <c r="F2" s="12">
        <v>500</v>
      </c>
      <c r="G2" s="13">
        <v>3</v>
      </c>
      <c r="H2" s="18">
        <v>4.4648287883151889</v>
      </c>
      <c r="I2" s="18">
        <v>5.5471648307407193</v>
      </c>
      <c r="J2" s="18">
        <v>5.004700192258106</v>
      </c>
      <c r="K2" s="18">
        <v>4.742985788207088</v>
      </c>
      <c r="L2" s="18">
        <v>4.990856654510389</v>
      </c>
      <c r="M2" s="18">
        <v>5.3609974648240923</v>
      </c>
      <c r="N2" s="18">
        <v>4.4550076898731188</v>
      </c>
      <c r="O2" s="18">
        <v>4.7854168401421147</v>
      </c>
      <c r="P2" s="18">
        <v>3.5297166886072362</v>
      </c>
      <c r="Q2" s="17"/>
      <c r="R2" s="18">
        <v>4.2978794553854174</v>
      </c>
      <c r="S2" s="18">
        <v>5.6853622600648803</v>
      </c>
      <c r="T2" s="17"/>
      <c r="U2" s="18">
        <v>4.5842302315032937</v>
      </c>
      <c r="V2" s="18">
        <v>5.3586159512160654</v>
      </c>
      <c r="W2" s="18">
        <v>5.2858891377375796</v>
      </c>
      <c r="X2" s="18">
        <v>4.8349499847075919</v>
      </c>
    </row>
    <row r="3" spans="1:24" s="14" customFormat="1" x14ac:dyDescent="0.2">
      <c r="A3" s="4" t="s">
        <v>6</v>
      </c>
      <c r="B3" s="6" t="s">
        <v>7</v>
      </c>
      <c r="C3" s="4" t="s">
        <v>8</v>
      </c>
      <c r="D3" s="99">
        <v>1</v>
      </c>
      <c r="E3" s="11">
        <v>201</v>
      </c>
      <c r="F3" s="12">
        <v>926</v>
      </c>
      <c r="G3" s="13">
        <v>6.5</v>
      </c>
      <c r="H3" s="18">
        <v>4.7406995267298893</v>
      </c>
      <c r="I3" s="18">
        <v>5.4307370718865684</v>
      </c>
      <c r="J3" s="18">
        <v>4.9270586875882421</v>
      </c>
      <c r="K3" s="18">
        <v>4.4201912859552674</v>
      </c>
      <c r="L3" s="18">
        <v>5.0597356540320986</v>
      </c>
      <c r="M3" s="18">
        <v>5.14411005900795</v>
      </c>
      <c r="N3" s="18">
        <v>4.0884286287905391</v>
      </c>
      <c r="O3" s="18">
        <v>4.5040336154691474</v>
      </c>
      <c r="P3" s="18">
        <v>3.9300215458810359</v>
      </c>
      <c r="Q3" s="17"/>
      <c r="R3" s="18">
        <v>3.927887956997965</v>
      </c>
      <c r="S3" s="18">
        <v>5.5028242307007034</v>
      </c>
      <c r="T3" s="17"/>
      <c r="U3" s="18">
        <v>4.4570812674478422</v>
      </c>
      <c r="V3" s="18">
        <v>5.5108403935997412</v>
      </c>
      <c r="W3" s="18">
        <v>5.3076167323684205</v>
      </c>
      <c r="X3" s="18">
        <v>4.883140529441131</v>
      </c>
    </row>
    <row r="4" spans="1:24" s="14" customFormat="1" x14ac:dyDescent="0.2">
      <c r="A4" s="4" t="s">
        <v>6</v>
      </c>
      <c r="B4" s="6" t="s">
        <v>7</v>
      </c>
      <c r="C4" s="4" t="s">
        <v>8</v>
      </c>
      <c r="D4" s="99">
        <v>1</v>
      </c>
      <c r="E4" s="11">
        <v>301</v>
      </c>
      <c r="F4" s="12">
        <v>3704</v>
      </c>
      <c r="G4" s="13">
        <v>13.5</v>
      </c>
      <c r="H4" s="18">
        <v>4.3739863291226246</v>
      </c>
      <c r="I4" s="18">
        <v>5.4072872885064118</v>
      </c>
      <c r="J4" s="18">
        <v>4.5952214635598612</v>
      </c>
      <c r="K4" s="18">
        <v>4.8246223393133798</v>
      </c>
      <c r="L4" s="18">
        <v>3.97879836880072</v>
      </c>
      <c r="M4" s="18">
        <v>5.2990009866357006</v>
      </c>
      <c r="N4" s="18">
        <v>4.2446940536533724</v>
      </c>
      <c r="O4" s="18">
        <v>3.30034468131548</v>
      </c>
      <c r="P4" s="18">
        <v>4.7761286165909125</v>
      </c>
      <c r="Q4" s="17"/>
      <c r="R4" s="18">
        <v>4.0163614683640549</v>
      </c>
      <c r="S4" s="18">
        <v>4.4546355996901994</v>
      </c>
      <c r="T4" s="17"/>
      <c r="U4" s="18">
        <v>3.9594725719289281</v>
      </c>
      <c r="V4" s="18">
        <v>5.1965788572321872</v>
      </c>
      <c r="W4" s="18">
        <v>4.9606444684415658</v>
      </c>
      <c r="X4" s="18">
        <v>4.0583578156881357</v>
      </c>
    </row>
    <row r="5" spans="1:24" s="14" customFormat="1" x14ac:dyDescent="0.2">
      <c r="A5" s="4" t="s">
        <v>6</v>
      </c>
      <c r="B5" s="4" t="s">
        <v>9</v>
      </c>
      <c r="C5" s="4" t="s">
        <v>46</v>
      </c>
      <c r="D5" s="99">
        <v>8</v>
      </c>
      <c r="E5" s="11">
        <v>108</v>
      </c>
      <c r="F5" s="12">
        <v>500</v>
      </c>
      <c r="G5" s="13">
        <v>2</v>
      </c>
      <c r="H5" s="18">
        <v>4.2563868664533322</v>
      </c>
      <c r="I5" s="18">
        <v>4.6604142339849277</v>
      </c>
      <c r="J5" s="18">
        <v>5.0594191557637194</v>
      </c>
      <c r="K5" s="18">
        <v>5.4911148443678472</v>
      </c>
      <c r="L5" s="18">
        <v>6.1407634276560445</v>
      </c>
      <c r="M5" s="18">
        <v>6.2208075303694201</v>
      </c>
      <c r="N5" s="18">
        <v>4.665863448214508</v>
      </c>
      <c r="O5" s="18">
        <v>4.4104679735720778</v>
      </c>
      <c r="P5" s="18">
        <v>4.8639425476474187</v>
      </c>
      <c r="Q5" s="17"/>
      <c r="R5" s="18">
        <v>4.6321385763096758</v>
      </c>
      <c r="S5" s="18">
        <v>5.9249406732225385</v>
      </c>
      <c r="T5" s="18">
        <v>4.7594601574849928</v>
      </c>
      <c r="U5" s="18">
        <v>4.346118294485823</v>
      </c>
      <c r="V5" s="18">
        <v>5.3646498648385323</v>
      </c>
      <c r="W5" s="18">
        <v>4.9566665659151976</v>
      </c>
      <c r="X5" s="18">
        <v>4.704969413801634</v>
      </c>
    </row>
    <row r="6" spans="1:24" s="14" customFormat="1" x14ac:dyDescent="0.2">
      <c r="A6" s="4" t="s">
        <v>6</v>
      </c>
      <c r="B6" s="4" t="s">
        <v>9</v>
      </c>
      <c r="C6" s="4" t="s">
        <v>46</v>
      </c>
      <c r="D6" s="99">
        <v>8</v>
      </c>
      <c r="E6" s="11">
        <v>208</v>
      </c>
      <c r="F6" s="12">
        <v>926</v>
      </c>
      <c r="G6" s="13">
        <v>4.5</v>
      </c>
      <c r="H6" s="18">
        <v>4.8077066382870148</v>
      </c>
      <c r="I6" s="18">
        <v>4.6158028231695161</v>
      </c>
      <c r="J6" s="18">
        <v>4.3345259184452702</v>
      </c>
      <c r="K6" s="18">
        <v>5.3854686285799112</v>
      </c>
      <c r="L6" s="18">
        <v>6.0355263080440782</v>
      </c>
      <c r="M6" s="18">
        <v>6.5185093016078355</v>
      </c>
      <c r="N6" s="18">
        <v>2.2005489672172636</v>
      </c>
      <c r="O6" s="18">
        <v>4.6238989817457545</v>
      </c>
      <c r="P6" s="18">
        <v>4.8821401664708048</v>
      </c>
      <c r="Q6" s="17"/>
      <c r="R6" s="18">
        <v>4.3574588783912018</v>
      </c>
      <c r="S6" s="18">
        <v>6.0055947808145262</v>
      </c>
      <c r="T6" s="18">
        <v>4.7477571487947499</v>
      </c>
      <c r="U6" s="18">
        <v>4.3038386610255897</v>
      </c>
      <c r="V6" s="18">
        <v>5.4232417905475501</v>
      </c>
      <c r="W6" s="18">
        <v>5.3793144237776165</v>
      </c>
      <c r="X6" s="18">
        <v>4.6681423598514273</v>
      </c>
    </row>
    <row r="7" spans="1:24" s="14" customFormat="1" x14ac:dyDescent="0.2">
      <c r="A7" s="4" t="s">
        <v>6</v>
      </c>
      <c r="B7" s="4" t="s">
        <v>9</v>
      </c>
      <c r="C7" s="4" t="s">
        <v>46</v>
      </c>
      <c r="D7" s="99">
        <v>8</v>
      </c>
      <c r="E7" s="11">
        <v>308</v>
      </c>
      <c r="F7" s="12">
        <v>3704</v>
      </c>
      <c r="G7" s="13">
        <v>13</v>
      </c>
      <c r="H7" s="18">
        <v>4.217103177295499</v>
      </c>
      <c r="I7" s="18">
        <v>4.3593884409761019</v>
      </c>
      <c r="J7" s="18">
        <v>4.5819501122491868</v>
      </c>
      <c r="K7" s="18">
        <v>5.2213279922055058</v>
      </c>
      <c r="L7" s="18">
        <v>5.1140911339360846</v>
      </c>
      <c r="M7" s="18">
        <v>5.7535602504796168</v>
      </c>
      <c r="N7" s="18">
        <v>2.9201539742337128</v>
      </c>
      <c r="O7" s="18">
        <v>4.1192447764486939</v>
      </c>
      <c r="P7" s="18">
        <v>4.4651306902628392</v>
      </c>
      <c r="Q7" s="17"/>
      <c r="R7" s="18">
        <v>4.358777814941587</v>
      </c>
      <c r="S7" s="18">
        <v>5.0787489516078885</v>
      </c>
      <c r="T7" s="18">
        <v>4.0048865924690418</v>
      </c>
      <c r="U7" s="18">
        <v>3.7864095319485225</v>
      </c>
      <c r="V7" s="18">
        <v>4.8155679749623781</v>
      </c>
      <c r="W7" s="18">
        <v>4.695035525195709</v>
      </c>
      <c r="X7" s="18">
        <v>4.2323233255491637</v>
      </c>
    </row>
    <row r="8" spans="1:24" s="14" customFormat="1" x14ac:dyDescent="0.2">
      <c r="A8" s="4" t="s">
        <v>6</v>
      </c>
      <c r="B8" s="4" t="s">
        <v>9</v>
      </c>
      <c r="C8" s="4" t="s">
        <v>10</v>
      </c>
      <c r="D8" s="99">
        <v>10</v>
      </c>
      <c r="E8" s="11">
        <v>110</v>
      </c>
      <c r="F8" s="12">
        <v>500</v>
      </c>
      <c r="G8" s="13">
        <v>2</v>
      </c>
      <c r="H8" s="18">
        <v>5.2409547739570659</v>
      </c>
      <c r="I8" s="18">
        <v>4.2532566076082947</v>
      </c>
      <c r="J8" s="18">
        <v>5.0177817770868218</v>
      </c>
      <c r="K8" s="18">
        <v>5.6169058684395727</v>
      </c>
      <c r="L8" s="18">
        <v>6.2566414854154608</v>
      </c>
      <c r="M8" s="18">
        <v>6.8097564929767085</v>
      </c>
      <c r="N8" s="18">
        <v>6.5747731797421141</v>
      </c>
      <c r="O8" s="18">
        <v>5.0652667432861929</v>
      </c>
      <c r="P8" s="18">
        <v>4.7887119601283032</v>
      </c>
      <c r="Q8" s="17"/>
      <c r="R8" s="18">
        <v>5.0666090833263251</v>
      </c>
      <c r="S8" s="18">
        <v>6.4673688460480072</v>
      </c>
      <c r="T8" s="18">
        <v>4.8345641394148444</v>
      </c>
      <c r="U8" s="18">
        <v>4.4686491031848323</v>
      </c>
      <c r="V8" s="18">
        <v>5.7051056647319598</v>
      </c>
      <c r="W8" s="18">
        <v>5.2428599053532512</v>
      </c>
      <c r="X8" s="18">
        <v>5.2039870520771165</v>
      </c>
    </row>
    <row r="9" spans="1:24" s="14" customFormat="1" x14ac:dyDescent="0.2">
      <c r="A9" s="4" t="s">
        <v>6</v>
      </c>
      <c r="B9" s="4" t="s">
        <v>9</v>
      </c>
      <c r="C9" s="4" t="s">
        <v>10</v>
      </c>
      <c r="D9" s="99">
        <v>10</v>
      </c>
      <c r="E9" s="11">
        <v>210</v>
      </c>
      <c r="F9" s="12">
        <v>926</v>
      </c>
      <c r="G9" s="13">
        <v>4.5</v>
      </c>
      <c r="H9" s="18">
        <v>5.2166491138738849</v>
      </c>
      <c r="I9" s="18">
        <v>5.0823887721231875</v>
      </c>
      <c r="J9" s="18">
        <v>5.7839617173168252</v>
      </c>
      <c r="K9" s="18">
        <v>5.4076736320700993</v>
      </c>
      <c r="L9" s="18">
        <v>5.9194036477486671</v>
      </c>
      <c r="M9" s="18">
        <v>6.6704262128520933</v>
      </c>
      <c r="N9" s="18">
        <v>4.7565417367292913</v>
      </c>
      <c r="O9" s="18">
        <v>4.7367371723585787</v>
      </c>
      <c r="P9" s="18">
        <v>5.0556341609901896</v>
      </c>
      <c r="Q9" s="17"/>
      <c r="R9" s="18">
        <v>5.5054543629237909</v>
      </c>
      <c r="S9" s="18">
        <v>6.5145457645475737</v>
      </c>
      <c r="T9" s="18">
        <v>4.7040964820200237</v>
      </c>
      <c r="U9" s="18">
        <v>4.8580682228474528</v>
      </c>
      <c r="V9" s="18">
        <v>5.0185428000952435</v>
      </c>
      <c r="W9" s="18">
        <v>5.5429626644887229</v>
      </c>
      <c r="X9" s="18">
        <v>4.6631877068360579</v>
      </c>
    </row>
    <row r="10" spans="1:24" s="14" customFormat="1" x14ac:dyDescent="0.2">
      <c r="A10" s="4" t="s">
        <v>6</v>
      </c>
      <c r="B10" s="4" t="s">
        <v>9</v>
      </c>
      <c r="C10" s="4" t="s">
        <v>10</v>
      </c>
      <c r="D10" s="99">
        <v>10</v>
      </c>
      <c r="E10" s="11">
        <v>310</v>
      </c>
      <c r="F10" s="12">
        <v>3704</v>
      </c>
      <c r="G10" s="13">
        <v>11.5</v>
      </c>
      <c r="H10" s="18">
        <v>5.0755146940461415</v>
      </c>
      <c r="I10" s="18">
        <v>4.0463103104079501</v>
      </c>
      <c r="J10" s="18">
        <v>4.5841254726252263</v>
      </c>
      <c r="K10" s="18">
        <v>4.5199727630365656</v>
      </c>
      <c r="L10" s="18">
        <v>5.0819422781558412</v>
      </c>
      <c r="M10" s="18">
        <v>6.5915948572399188</v>
      </c>
      <c r="N10" s="18">
        <v>3.9842368561644834</v>
      </c>
      <c r="O10" s="18">
        <v>4.2358285899268786</v>
      </c>
      <c r="P10" s="18">
        <v>2.1682701872750387</v>
      </c>
      <c r="Q10" s="17"/>
      <c r="R10" s="18">
        <v>5.7200602343834746</v>
      </c>
      <c r="S10" s="18">
        <v>6.0710148775311232</v>
      </c>
      <c r="T10" s="18">
        <v>4.9806084904513659</v>
      </c>
      <c r="U10" s="18">
        <v>4.6652350515359577</v>
      </c>
      <c r="V10" s="18">
        <v>4.8683484892472109</v>
      </c>
      <c r="W10" s="18">
        <v>5.2389028665416264</v>
      </c>
      <c r="X10" s="18">
        <v>4.7419905690558153</v>
      </c>
    </row>
    <row r="11" spans="1:24" s="14" customFormat="1" x14ac:dyDescent="0.2">
      <c r="A11" s="4" t="s">
        <v>6</v>
      </c>
      <c r="B11" s="4" t="s">
        <v>9</v>
      </c>
      <c r="C11" s="4" t="s">
        <v>11</v>
      </c>
      <c r="D11" s="99">
        <v>15</v>
      </c>
      <c r="E11" s="11">
        <v>115</v>
      </c>
      <c r="F11" s="12">
        <v>500</v>
      </c>
      <c r="G11" s="13">
        <v>2.5</v>
      </c>
      <c r="H11" s="18">
        <v>5.0154961786705679</v>
      </c>
      <c r="I11" s="18">
        <v>4.0773310282163022</v>
      </c>
      <c r="J11" s="18">
        <v>4.2764261291511625</v>
      </c>
      <c r="K11" s="18">
        <v>5.813704916266965</v>
      </c>
      <c r="L11" s="18">
        <v>5.4129404587233179</v>
      </c>
      <c r="M11" s="18">
        <v>5.9906433366188807</v>
      </c>
      <c r="N11" s="18">
        <v>4.9404544804812547</v>
      </c>
      <c r="O11" s="18">
        <v>5.5774746532609925</v>
      </c>
      <c r="P11" s="18">
        <v>4.8506629609884264</v>
      </c>
      <c r="Q11" s="17"/>
      <c r="R11" s="18">
        <v>5.8419394064862313</v>
      </c>
      <c r="S11" s="18">
        <v>6.2270362548018694</v>
      </c>
      <c r="T11" s="18">
        <v>5.1790075186422726</v>
      </c>
      <c r="U11" s="18">
        <v>4.608292164914606</v>
      </c>
      <c r="V11" s="18">
        <v>5.0482705365047851</v>
      </c>
      <c r="W11" s="18">
        <v>4.7194558719399007</v>
      </c>
      <c r="X11" s="18">
        <v>4.6722788897996832</v>
      </c>
    </row>
    <row r="12" spans="1:24" s="14" customFormat="1" x14ac:dyDescent="0.2">
      <c r="A12" s="4" t="s">
        <v>6</v>
      </c>
      <c r="B12" s="4" t="s">
        <v>9</v>
      </c>
      <c r="C12" s="4" t="s">
        <v>11</v>
      </c>
      <c r="D12" s="99">
        <v>15</v>
      </c>
      <c r="E12" s="11">
        <v>215</v>
      </c>
      <c r="F12" s="12">
        <v>926</v>
      </c>
      <c r="G12" s="13">
        <v>6</v>
      </c>
      <c r="H12" s="18">
        <v>5.0461923684905843</v>
      </c>
      <c r="I12" s="18">
        <v>4.4580232817749579</v>
      </c>
      <c r="J12" s="18">
        <v>4.9833592275820253</v>
      </c>
      <c r="K12" s="18">
        <v>5.2922080718023663</v>
      </c>
      <c r="L12" s="18">
        <v>5.4948026837347488</v>
      </c>
      <c r="M12" s="18">
        <v>6.4206396860731267</v>
      </c>
      <c r="N12" s="18">
        <v>4.6084588030604445</v>
      </c>
      <c r="O12" s="18">
        <v>5.0288504605235991</v>
      </c>
      <c r="P12" s="18">
        <v>5.8461151716331505</v>
      </c>
      <c r="Q12" s="17"/>
      <c r="R12" s="18">
        <v>5.6482159370833109</v>
      </c>
      <c r="S12" s="18">
        <v>6.1145977728533021</v>
      </c>
      <c r="T12" s="18">
        <v>5.1789899584858059</v>
      </c>
      <c r="U12" s="18">
        <v>4.910346791347374</v>
      </c>
      <c r="V12" s="18">
        <v>5.0388523912201562</v>
      </c>
      <c r="W12" s="18">
        <v>5.3289933319761715</v>
      </c>
      <c r="X12" s="18">
        <v>4.3993346193733265</v>
      </c>
    </row>
    <row r="13" spans="1:24" s="14" customFormat="1" x14ac:dyDescent="0.2">
      <c r="A13" s="4" t="s">
        <v>6</v>
      </c>
      <c r="B13" s="4" t="s">
        <v>9</v>
      </c>
      <c r="C13" s="4" t="s">
        <v>11</v>
      </c>
      <c r="D13" s="99">
        <v>15</v>
      </c>
      <c r="E13" s="11">
        <v>315</v>
      </c>
      <c r="F13" s="12">
        <v>3704</v>
      </c>
      <c r="G13" s="13">
        <v>13.5</v>
      </c>
      <c r="H13" s="18">
        <v>5.0241680585220019</v>
      </c>
      <c r="I13" s="18">
        <v>4.1071771562072046</v>
      </c>
      <c r="J13" s="18">
        <v>4.8010258149230198</v>
      </c>
      <c r="K13" s="18">
        <v>5.014725561633532</v>
      </c>
      <c r="L13" s="18">
        <v>5.578162056159889</v>
      </c>
      <c r="M13" s="18">
        <v>6.137889229648902</v>
      </c>
      <c r="N13" s="18">
        <v>3.7824582022709192</v>
      </c>
      <c r="O13" s="18">
        <v>3.6574655880324625</v>
      </c>
      <c r="P13" s="18">
        <v>4.1152391157813089</v>
      </c>
      <c r="Q13" s="17"/>
      <c r="R13" s="18">
        <v>4.6515948962243892</v>
      </c>
      <c r="S13" s="18">
        <v>5.4407699913434877</v>
      </c>
      <c r="T13" s="18">
        <v>5.1978181583602101</v>
      </c>
      <c r="U13" s="18">
        <v>4.170060461649598</v>
      </c>
      <c r="V13" s="18">
        <v>4.3404590088773967</v>
      </c>
      <c r="W13" s="18">
        <v>4.6508336841778117</v>
      </c>
      <c r="X13" s="18">
        <v>4.7176453775526879</v>
      </c>
    </row>
    <row r="14" spans="1:24" s="14" customFormat="1" x14ac:dyDescent="0.2">
      <c r="A14" s="4" t="s">
        <v>6</v>
      </c>
      <c r="B14" s="4" t="s">
        <v>12</v>
      </c>
      <c r="C14" s="4" t="s">
        <v>47</v>
      </c>
      <c r="D14" s="99">
        <v>24</v>
      </c>
      <c r="E14" s="11">
        <v>124</v>
      </c>
      <c r="F14" s="12">
        <v>500</v>
      </c>
      <c r="G14" s="13">
        <v>2.5</v>
      </c>
      <c r="H14" s="18">
        <v>4.9678581747377546</v>
      </c>
      <c r="I14" s="18">
        <v>5.3372043994108687</v>
      </c>
      <c r="J14" s="18">
        <v>4.5751566143523572</v>
      </c>
      <c r="K14" s="18">
        <v>5.4169587512504078</v>
      </c>
      <c r="L14" s="18">
        <v>5.6889609404264672</v>
      </c>
      <c r="M14" s="18">
        <v>6.002788215735241</v>
      </c>
      <c r="N14" s="18">
        <v>4.3850328975684034</v>
      </c>
      <c r="O14" s="18">
        <v>4.9144879644817188</v>
      </c>
      <c r="P14" s="18">
        <v>4.3035405113717315</v>
      </c>
      <c r="Q14" s="17"/>
      <c r="R14" s="18">
        <v>5.1063516144122545</v>
      </c>
      <c r="S14" s="18">
        <v>5.701369414027007</v>
      </c>
      <c r="T14" s="18">
        <v>5.2483133213470703</v>
      </c>
      <c r="U14" s="18">
        <v>5.0076775322252258</v>
      </c>
      <c r="V14" s="18">
        <v>5.3241237873541465</v>
      </c>
      <c r="W14" s="18">
        <v>5.1212997157557663</v>
      </c>
      <c r="X14" s="18">
        <v>3.9410961040770807</v>
      </c>
    </row>
    <row r="15" spans="1:24" s="14" customFormat="1" x14ac:dyDescent="0.2">
      <c r="A15" s="4" t="s">
        <v>6</v>
      </c>
      <c r="B15" s="4" t="s">
        <v>12</v>
      </c>
      <c r="C15" s="4" t="s">
        <v>47</v>
      </c>
      <c r="D15" s="99">
        <v>24</v>
      </c>
      <c r="E15" s="11">
        <v>224</v>
      </c>
      <c r="F15" s="12">
        <v>926</v>
      </c>
      <c r="G15" s="13">
        <v>6.5</v>
      </c>
      <c r="H15" s="18">
        <v>4.9238344577905595</v>
      </c>
      <c r="I15" s="18">
        <v>5.1263228332623205</v>
      </c>
      <c r="J15" s="18">
        <v>5.6009811577428312</v>
      </c>
      <c r="K15" s="18">
        <v>5.5109315094324511</v>
      </c>
      <c r="L15" s="18">
        <v>5.7126366777540305</v>
      </c>
      <c r="M15" s="18">
        <v>6.3149061301307956</v>
      </c>
      <c r="N15" s="18">
        <v>4.8287454833563075</v>
      </c>
      <c r="O15" s="18">
        <v>4.297196006508579</v>
      </c>
      <c r="P15" s="18">
        <v>5.7261329213063181</v>
      </c>
      <c r="Q15" s="17"/>
      <c r="R15" s="18">
        <v>4.8322093138447899</v>
      </c>
      <c r="S15" s="18">
        <v>5.9699476202264341</v>
      </c>
      <c r="T15" s="18">
        <v>4.9633761653006196</v>
      </c>
      <c r="U15" s="18">
        <v>4.800395352596877</v>
      </c>
      <c r="V15" s="18">
        <v>5.7118730935704605</v>
      </c>
      <c r="W15" s="18">
        <v>4.8021582651072672</v>
      </c>
      <c r="X15" s="18">
        <v>4.2823039135419174</v>
      </c>
    </row>
    <row r="16" spans="1:24" s="14" customFormat="1" x14ac:dyDescent="0.2">
      <c r="A16" s="4" t="s">
        <v>6</v>
      </c>
      <c r="B16" s="4" t="s">
        <v>12</v>
      </c>
      <c r="C16" s="4" t="s">
        <v>47</v>
      </c>
      <c r="D16" s="99">
        <v>24</v>
      </c>
      <c r="E16" s="11">
        <v>324</v>
      </c>
      <c r="F16" s="12">
        <v>3704</v>
      </c>
      <c r="G16" s="13">
        <v>15</v>
      </c>
      <c r="H16" s="18">
        <v>5.3931699312086927</v>
      </c>
      <c r="I16" s="18">
        <v>4.7483735103037263</v>
      </c>
      <c r="J16" s="18">
        <v>4.6449532536458307</v>
      </c>
      <c r="K16" s="18">
        <v>4.4315167243552489</v>
      </c>
      <c r="L16" s="18">
        <v>5.6596216127531482</v>
      </c>
      <c r="M16" s="18">
        <v>6.3257491862768624</v>
      </c>
      <c r="N16" s="18">
        <v>3.9660043621034724</v>
      </c>
      <c r="O16" s="18">
        <v>3.7524254257073673</v>
      </c>
      <c r="P16" s="18">
        <v>4.7080038950295915</v>
      </c>
      <c r="Q16" s="17"/>
      <c r="R16" s="18">
        <v>4.8148533786655996</v>
      </c>
      <c r="S16" s="18">
        <v>5.8127277189623641</v>
      </c>
      <c r="T16" s="18">
        <v>5.1876166569680429</v>
      </c>
      <c r="U16" s="18">
        <v>4.3570025735276507</v>
      </c>
      <c r="V16" s="18">
        <v>5.3176968774652389</v>
      </c>
      <c r="W16" s="18">
        <v>4.349718903316921</v>
      </c>
      <c r="X16" s="18">
        <v>4.4958373841010761</v>
      </c>
    </row>
    <row r="17" spans="1:24" s="14" customFormat="1" x14ac:dyDescent="0.2">
      <c r="A17" s="4" t="s">
        <v>6</v>
      </c>
      <c r="B17" s="6" t="s">
        <v>13</v>
      </c>
      <c r="C17" s="4" t="s">
        <v>14</v>
      </c>
      <c r="D17" s="99">
        <v>32</v>
      </c>
      <c r="E17" s="11">
        <v>132</v>
      </c>
      <c r="F17" s="12">
        <v>500</v>
      </c>
      <c r="G17" s="13">
        <v>2.5</v>
      </c>
      <c r="H17" s="18">
        <v>5.2782863673211429</v>
      </c>
      <c r="I17" s="18">
        <v>5.5797900571922812</v>
      </c>
      <c r="J17" s="18">
        <v>5.2664248195491954</v>
      </c>
      <c r="K17" s="18">
        <v>4.5475496492141332</v>
      </c>
      <c r="L17" s="18">
        <v>6.6212323616741697</v>
      </c>
      <c r="M17" s="18">
        <v>6.8782937462030116</v>
      </c>
      <c r="N17" s="18">
        <v>6.1512977024161133</v>
      </c>
      <c r="O17" s="18">
        <v>4.2221681819239949</v>
      </c>
      <c r="P17" s="18">
        <v>3.7861106250393726</v>
      </c>
      <c r="Q17" s="17"/>
      <c r="R17" s="18">
        <v>5.3734482186881651</v>
      </c>
      <c r="S17" s="18">
        <v>5.97640051817383</v>
      </c>
      <c r="T17" s="18">
        <v>4.4197414210795873</v>
      </c>
      <c r="U17" s="18">
        <v>5.2577721545188956</v>
      </c>
      <c r="V17" s="18">
        <v>6.0548849343611932</v>
      </c>
      <c r="W17" s="18">
        <v>5.8781178574175463</v>
      </c>
      <c r="X17" s="18">
        <v>5.1945555533889909</v>
      </c>
    </row>
    <row r="18" spans="1:24" s="14" customFormat="1" x14ac:dyDescent="0.2">
      <c r="A18" s="4" t="s">
        <v>6</v>
      </c>
      <c r="B18" s="6" t="s">
        <v>13</v>
      </c>
      <c r="C18" s="4" t="s">
        <v>14</v>
      </c>
      <c r="D18" s="99">
        <v>32</v>
      </c>
      <c r="E18" s="11">
        <v>232</v>
      </c>
      <c r="F18" s="12">
        <v>926</v>
      </c>
      <c r="G18" s="13">
        <v>6.5</v>
      </c>
      <c r="H18" s="18">
        <v>5.1179422673176127</v>
      </c>
      <c r="I18" s="18">
        <v>5.2520862345814781</v>
      </c>
      <c r="J18" s="18">
        <v>5.3825483658555733</v>
      </c>
      <c r="K18" s="18">
        <v>5.2059370094806514</v>
      </c>
      <c r="L18" s="18">
        <v>6.4118311116935613</v>
      </c>
      <c r="M18" s="18">
        <v>6.5485756260609875</v>
      </c>
      <c r="N18" s="18">
        <v>4.2227972630463997</v>
      </c>
      <c r="O18" s="18">
        <v>4.1209649542471301</v>
      </c>
      <c r="P18" s="18">
        <v>5.626847259359673</v>
      </c>
      <c r="Q18" s="17"/>
      <c r="R18" s="18">
        <v>5.5045114463531766</v>
      </c>
      <c r="S18" s="18">
        <v>5.6742251803696133</v>
      </c>
      <c r="T18" s="18">
        <v>5.1616994979904529</v>
      </c>
      <c r="U18" s="18">
        <v>4.6908700982355382</v>
      </c>
      <c r="V18" s="18">
        <v>5.4097219202190443</v>
      </c>
      <c r="W18" s="18">
        <v>5.8374792617033648</v>
      </c>
      <c r="X18" s="18">
        <v>5.2637826465929924</v>
      </c>
    </row>
    <row r="19" spans="1:24" s="14" customFormat="1" x14ac:dyDescent="0.2">
      <c r="A19" s="4" t="s">
        <v>6</v>
      </c>
      <c r="B19" s="6" t="s">
        <v>13</v>
      </c>
      <c r="C19" s="4" t="s">
        <v>14</v>
      </c>
      <c r="D19" s="99">
        <v>32</v>
      </c>
      <c r="E19" s="11">
        <v>332</v>
      </c>
      <c r="F19" s="12">
        <v>3704</v>
      </c>
      <c r="G19" s="13">
        <v>16</v>
      </c>
      <c r="H19" s="18">
        <v>5.0278177095846752</v>
      </c>
      <c r="I19" s="18">
        <v>3.7642600290634238</v>
      </c>
      <c r="J19" s="18">
        <v>5.2259334636999686</v>
      </c>
      <c r="K19" s="18">
        <v>3.8475054225961269</v>
      </c>
      <c r="L19" s="18">
        <v>5.2348687382498795</v>
      </c>
      <c r="M19" s="18">
        <v>5.8733601269169435</v>
      </c>
      <c r="N19" s="18">
        <v>4.0387511933537619</v>
      </c>
      <c r="O19" s="18">
        <v>2.5443853313684279</v>
      </c>
      <c r="P19" s="18">
        <v>3.9310177046578527</v>
      </c>
      <c r="Q19" s="17"/>
      <c r="R19" s="18">
        <v>5.3506033186838833</v>
      </c>
      <c r="S19" s="18">
        <v>4.1172692997619169</v>
      </c>
      <c r="T19" s="18">
        <v>4.4983657486502233</v>
      </c>
      <c r="U19" s="18">
        <v>4.4477092515147394</v>
      </c>
      <c r="V19" s="18">
        <v>4.9817245611969811</v>
      </c>
      <c r="W19" s="18">
        <v>4.6419083093665554</v>
      </c>
      <c r="X19" s="18">
        <v>4.8240043370734691</v>
      </c>
    </row>
    <row r="20" spans="1:24" s="14" customFormat="1" x14ac:dyDescent="0.2">
      <c r="A20" s="4" t="s">
        <v>6</v>
      </c>
      <c r="B20" s="6" t="s">
        <v>13</v>
      </c>
      <c r="C20" s="4" t="s">
        <v>48</v>
      </c>
      <c r="D20" s="99">
        <v>40</v>
      </c>
      <c r="E20" s="11">
        <v>140</v>
      </c>
      <c r="F20" s="12">
        <v>500</v>
      </c>
      <c r="G20" s="13">
        <v>3</v>
      </c>
      <c r="H20" s="18">
        <v>5.1126769860042671</v>
      </c>
      <c r="I20" s="18">
        <v>5.285284748927852</v>
      </c>
      <c r="J20" s="18">
        <v>5.2178459506966526</v>
      </c>
      <c r="K20" s="18">
        <v>3.7332248075427121</v>
      </c>
      <c r="L20" s="18">
        <v>4.9522667778213503</v>
      </c>
      <c r="M20" s="18">
        <v>5.4233188278903368</v>
      </c>
      <c r="N20" s="18">
        <v>4.2801219038726801</v>
      </c>
      <c r="O20" s="18">
        <v>2.1103209611294687</v>
      </c>
      <c r="P20" s="18">
        <v>5.360413158424973</v>
      </c>
      <c r="Q20" s="17"/>
      <c r="R20" s="18">
        <v>4.583276929277492</v>
      </c>
      <c r="S20" s="18">
        <v>4.4295034606264885</v>
      </c>
      <c r="T20" s="18">
        <v>4.7017208437729154</v>
      </c>
      <c r="U20" s="18">
        <v>4.9354871524044528</v>
      </c>
      <c r="V20" s="18">
        <v>5.724718253000046</v>
      </c>
      <c r="W20" s="18">
        <v>5.1450513086046721</v>
      </c>
      <c r="X20" s="18">
        <v>4.3333598526196466</v>
      </c>
    </row>
    <row r="21" spans="1:24" s="14" customFormat="1" x14ac:dyDescent="0.2">
      <c r="A21" s="4" t="s">
        <v>6</v>
      </c>
      <c r="B21" s="6" t="s">
        <v>13</v>
      </c>
      <c r="C21" s="4" t="s">
        <v>48</v>
      </c>
      <c r="D21" s="99">
        <v>40</v>
      </c>
      <c r="E21" s="11">
        <v>240</v>
      </c>
      <c r="F21" s="12">
        <v>926</v>
      </c>
      <c r="G21" s="13">
        <v>6.5</v>
      </c>
      <c r="H21" s="18">
        <v>5.0732391007604845</v>
      </c>
      <c r="I21" s="18">
        <v>5.2670765518006073</v>
      </c>
      <c r="J21" s="18">
        <v>4.7030677816280599</v>
      </c>
      <c r="K21" s="18">
        <v>3.7938527009645271</v>
      </c>
      <c r="L21" s="18">
        <v>4.5401660436461038</v>
      </c>
      <c r="M21" s="18">
        <v>5.3358795881716015</v>
      </c>
      <c r="N21" s="18">
        <v>4.3952863169167617</v>
      </c>
      <c r="O21" s="18">
        <v>2.8384765068420688</v>
      </c>
      <c r="P21" s="18">
        <v>5.4972646667434768</v>
      </c>
      <c r="Q21" s="17"/>
      <c r="R21" s="18">
        <v>4.6134220047240859</v>
      </c>
      <c r="S21" s="18">
        <v>4.0809362436901182</v>
      </c>
      <c r="T21" s="18">
        <v>4.4135040694988721</v>
      </c>
      <c r="U21" s="18">
        <v>4.4344588706151677</v>
      </c>
      <c r="V21" s="18">
        <v>5.2027682977901026</v>
      </c>
      <c r="W21" s="18">
        <v>4.9649832025447598</v>
      </c>
      <c r="X21" s="18">
        <v>4.3340156730837469</v>
      </c>
    </row>
    <row r="22" spans="1:24" s="14" customFormat="1" x14ac:dyDescent="0.2">
      <c r="A22" s="4" t="s">
        <v>6</v>
      </c>
      <c r="B22" s="6" t="s">
        <v>13</v>
      </c>
      <c r="C22" s="4" t="s">
        <v>48</v>
      </c>
      <c r="D22" s="99">
        <v>40</v>
      </c>
      <c r="E22" s="11">
        <v>340</v>
      </c>
      <c r="F22" s="12">
        <v>3704</v>
      </c>
      <c r="G22" s="13">
        <v>13</v>
      </c>
      <c r="H22" s="18">
        <v>4.9250588977127387</v>
      </c>
      <c r="I22" s="18">
        <v>5.3550456862536553</v>
      </c>
      <c r="J22" s="18">
        <v>4.5790141324077638</v>
      </c>
      <c r="K22" s="18">
        <v>4.387991953019414</v>
      </c>
      <c r="L22" s="18">
        <v>4.2216979512456412</v>
      </c>
      <c r="M22" s="18">
        <v>5.247129939091252</v>
      </c>
      <c r="N22" s="18">
        <v>3.8891162258327183</v>
      </c>
      <c r="O22" s="18">
        <v>4.1708744351796945</v>
      </c>
      <c r="P22" s="18">
        <v>5.3650404512119261</v>
      </c>
      <c r="Q22" s="17"/>
      <c r="R22" s="18">
        <v>4.3276678634003014</v>
      </c>
      <c r="S22" s="18">
        <v>4.1159382221651244</v>
      </c>
      <c r="T22" s="18">
        <v>3.6175827147503381</v>
      </c>
      <c r="U22" s="18">
        <v>4.5557402742220665</v>
      </c>
      <c r="V22" s="18">
        <v>5.4789352964870988</v>
      </c>
      <c r="W22" s="18">
        <v>4.8931962096706592</v>
      </c>
      <c r="X22" s="18">
        <v>4.2549480973888079</v>
      </c>
    </row>
    <row r="23" spans="1:24" s="14" customFormat="1" x14ac:dyDescent="0.2">
      <c r="A23" s="4" t="s">
        <v>6</v>
      </c>
      <c r="B23" s="20" t="s">
        <v>49</v>
      </c>
      <c r="C23" s="20" t="s">
        <v>15</v>
      </c>
      <c r="D23" s="99">
        <v>47</v>
      </c>
      <c r="E23" s="11">
        <v>147</v>
      </c>
      <c r="F23" s="12">
        <v>500</v>
      </c>
      <c r="G23" s="13">
        <v>2</v>
      </c>
      <c r="H23" s="18">
        <v>5.1620852341627446</v>
      </c>
      <c r="I23" s="18">
        <v>5.2747482635365346</v>
      </c>
      <c r="J23" s="18">
        <v>5.2176419458519829</v>
      </c>
      <c r="K23" s="18">
        <v>4.9071450087749149</v>
      </c>
      <c r="L23" s="18">
        <v>5.4823223220557118</v>
      </c>
      <c r="M23" s="18">
        <v>4.5803604425250191</v>
      </c>
      <c r="N23" s="18">
        <v>4.2139321661350921</v>
      </c>
      <c r="O23" s="18">
        <v>3.9024234465214098</v>
      </c>
      <c r="P23" s="18">
        <v>4.5265287196188142</v>
      </c>
      <c r="Q23" s="17"/>
      <c r="R23" s="18">
        <v>3.9930736181318136</v>
      </c>
      <c r="S23" s="18">
        <v>3.6022082691664821</v>
      </c>
      <c r="T23" s="18">
        <v>4.1294456879622716</v>
      </c>
      <c r="U23" s="18">
        <v>4.3750113102460624</v>
      </c>
      <c r="V23" s="18">
        <v>4.1373693520033061</v>
      </c>
      <c r="W23" s="17"/>
      <c r="X23" s="17"/>
    </row>
    <row r="24" spans="1:24" s="14" customFormat="1" x14ac:dyDescent="0.2">
      <c r="A24" s="4" t="s">
        <v>6</v>
      </c>
      <c r="B24" s="20" t="s">
        <v>49</v>
      </c>
      <c r="C24" s="20" t="s">
        <v>15</v>
      </c>
      <c r="D24" s="99">
        <v>47</v>
      </c>
      <c r="E24" s="11">
        <v>247</v>
      </c>
      <c r="F24" s="12">
        <v>926</v>
      </c>
      <c r="G24" s="13">
        <v>4.5</v>
      </c>
      <c r="H24" s="18">
        <v>5.3498870938706693</v>
      </c>
      <c r="I24" s="18">
        <v>5.4242790192866623</v>
      </c>
      <c r="J24" s="18">
        <v>3.6593608916979736</v>
      </c>
      <c r="K24" s="18">
        <v>4.5779882494248172</v>
      </c>
      <c r="L24" s="18">
        <v>4.9644893290121397</v>
      </c>
      <c r="M24" s="18">
        <v>4.737349592250979</v>
      </c>
      <c r="N24" s="18">
        <v>4.3569934082540875</v>
      </c>
      <c r="O24" s="18">
        <v>3.266483617066112</v>
      </c>
      <c r="P24" s="18">
        <v>4.6300415947894846</v>
      </c>
      <c r="Q24" s="17"/>
      <c r="R24" s="18">
        <v>3.5321258630112551</v>
      </c>
      <c r="S24" s="18">
        <v>5.4063788890873248</v>
      </c>
      <c r="T24" s="18">
        <v>3.8266638131901973</v>
      </c>
      <c r="U24" s="18">
        <v>4.3270632161869118</v>
      </c>
      <c r="V24" s="18">
        <v>3.9397970688764428</v>
      </c>
      <c r="W24" s="17"/>
      <c r="X24" s="17"/>
    </row>
    <row r="25" spans="1:24" s="14" customFormat="1" x14ac:dyDescent="0.2">
      <c r="A25" s="4" t="s">
        <v>6</v>
      </c>
      <c r="B25" s="20" t="s">
        <v>49</v>
      </c>
      <c r="C25" s="20" t="s">
        <v>15</v>
      </c>
      <c r="D25" s="99">
        <v>47</v>
      </c>
      <c r="E25" s="11">
        <v>347</v>
      </c>
      <c r="F25" s="12">
        <v>3704</v>
      </c>
      <c r="G25" s="13">
        <v>9</v>
      </c>
      <c r="H25" s="18">
        <v>5.3377513397861929</v>
      </c>
      <c r="I25" s="18">
        <v>5.5361805333902767</v>
      </c>
      <c r="J25" s="18">
        <v>4.1414022373866146</v>
      </c>
      <c r="K25" s="18">
        <v>4.9754012340439404</v>
      </c>
      <c r="L25" s="18">
        <v>5.1879868282673591</v>
      </c>
      <c r="M25" s="18">
        <v>5.3283919941577365</v>
      </c>
      <c r="N25" s="18">
        <v>4.4060516372885496</v>
      </c>
      <c r="O25" s="18">
        <v>3.4998394154876533</v>
      </c>
      <c r="P25" s="18">
        <v>4.4929010261624436</v>
      </c>
      <c r="Q25" s="17"/>
      <c r="R25" s="18">
        <v>4.067689321256367</v>
      </c>
      <c r="S25" s="18">
        <v>3.8875516121969453</v>
      </c>
      <c r="T25" s="18">
        <v>4.2140899045814351</v>
      </c>
      <c r="U25" s="18">
        <v>4.2250965018805831</v>
      </c>
      <c r="V25" s="18">
        <v>4.0385329251591342</v>
      </c>
      <c r="W25" s="17"/>
      <c r="X25" s="17"/>
    </row>
    <row r="26" spans="1:24" s="14" customFormat="1" x14ac:dyDescent="0.2">
      <c r="A26" s="4" t="s">
        <v>6</v>
      </c>
      <c r="B26" s="14" t="s">
        <v>50</v>
      </c>
      <c r="C26" s="14" t="s">
        <v>51</v>
      </c>
      <c r="D26" s="99">
        <v>53</v>
      </c>
      <c r="E26" s="11">
        <v>153</v>
      </c>
      <c r="F26" s="12">
        <v>500</v>
      </c>
      <c r="G26" s="13">
        <v>5</v>
      </c>
      <c r="H26" s="18">
        <v>5.25334794092237</v>
      </c>
      <c r="I26" s="18">
        <v>5.3373782136411076</v>
      </c>
      <c r="J26" s="18">
        <v>4.0952310319365939</v>
      </c>
      <c r="K26" s="18">
        <v>4.294421392254594</v>
      </c>
      <c r="L26" s="18">
        <v>4.9544601661260019</v>
      </c>
      <c r="M26" s="18">
        <v>4.3146445944843288</v>
      </c>
      <c r="N26" s="18">
        <v>3.3808229568966492</v>
      </c>
      <c r="O26" s="18">
        <v>3.9618801770707091</v>
      </c>
      <c r="P26" s="18">
        <v>4.7495288074453965</v>
      </c>
      <c r="Q26" s="17"/>
      <c r="R26" s="18">
        <v>4.0661232154908369</v>
      </c>
      <c r="S26" s="18">
        <v>3.8791919828068475</v>
      </c>
      <c r="T26" s="18">
        <v>3.5450707227464626</v>
      </c>
      <c r="U26" s="18">
        <v>3.5323473025806527</v>
      </c>
      <c r="V26" s="18">
        <v>3.2917908840150316</v>
      </c>
      <c r="W26" s="17"/>
      <c r="X26" s="17"/>
    </row>
    <row r="27" spans="1:24" s="14" customFormat="1" x14ac:dyDescent="0.2">
      <c r="A27" s="4" t="s">
        <v>6</v>
      </c>
      <c r="B27" s="14" t="s">
        <v>50</v>
      </c>
      <c r="C27" s="14" t="s">
        <v>51</v>
      </c>
      <c r="D27" s="99">
        <v>53</v>
      </c>
      <c r="E27" s="11">
        <v>253</v>
      </c>
      <c r="F27" s="12">
        <v>926</v>
      </c>
      <c r="G27" s="13">
        <v>6</v>
      </c>
      <c r="H27" s="18">
        <v>5.2361262377921607</v>
      </c>
      <c r="I27" s="18">
        <v>5.1314942858417272</v>
      </c>
      <c r="J27" s="18">
        <v>4.3158467748316456</v>
      </c>
      <c r="K27" s="18">
        <v>4.7111119119508071</v>
      </c>
      <c r="L27" s="18">
        <v>4.7064828027235119</v>
      </c>
      <c r="M27" s="18">
        <v>4.0098361309834747</v>
      </c>
      <c r="N27" s="18">
        <v>4.1966629883030899</v>
      </c>
      <c r="O27" s="18">
        <v>3.5426491222968544</v>
      </c>
      <c r="P27" s="18">
        <v>4.8006756942050686</v>
      </c>
      <c r="Q27" s="17"/>
      <c r="R27" s="18">
        <v>4.5387041411499114</v>
      </c>
      <c r="S27" s="18">
        <v>4.6175601185034845</v>
      </c>
      <c r="T27" s="18">
        <v>3.9636892343999395</v>
      </c>
      <c r="U27" s="18">
        <v>4.173954749064805</v>
      </c>
      <c r="V27" s="18">
        <v>4.4519651798075559</v>
      </c>
      <c r="W27" s="17"/>
      <c r="X27" s="17"/>
    </row>
    <row r="28" spans="1:24" s="14" customFormat="1" x14ac:dyDescent="0.2">
      <c r="A28" s="4" t="s">
        <v>6</v>
      </c>
      <c r="B28" s="14" t="s">
        <v>50</v>
      </c>
      <c r="C28" s="14" t="s">
        <v>51</v>
      </c>
      <c r="D28" s="99">
        <v>53</v>
      </c>
      <c r="E28" s="11">
        <v>353</v>
      </c>
      <c r="F28" s="12">
        <v>3704</v>
      </c>
      <c r="G28" s="13">
        <v>12</v>
      </c>
      <c r="H28" s="18">
        <v>5.1601610354774188</v>
      </c>
      <c r="I28" s="18">
        <v>5.3395951389239773</v>
      </c>
      <c r="J28" s="18">
        <v>4.1215742910345421</v>
      </c>
      <c r="K28" s="18">
        <v>5.0280340690552885</v>
      </c>
      <c r="L28" s="18">
        <v>4.9426264556740431</v>
      </c>
      <c r="M28" s="18">
        <v>3.6163242463219802</v>
      </c>
      <c r="N28" s="18">
        <v>2.0747880141052706</v>
      </c>
      <c r="O28" s="18">
        <v>3.4242381965316078</v>
      </c>
      <c r="P28" s="18">
        <v>4.5494755209281363</v>
      </c>
      <c r="Q28" s="17"/>
      <c r="R28" s="18">
        <v>3.7512673924603921</v>
      </c>
      <c r="S28" s="18">
        <v>4.1006816388044767</v>
      </c>
      <c r="T28" s="18">
        <v>4.0668482360195251</v>
      </c>
      <c r="U28" s="18">
        <v>4.1199363886254421</v>
      </c>
      <c r="V28" s="18">
        <v>4.502744452580651</v>
      </c>
      <c r="W28" s="17"/>
      <c r="X28" s="17"/>
    </row>
    <row r="29" spans="1:24" s="14" customFormat="1" x14ac:dyDescent="0.2">
      <c r="A29" s="4" t="s">
        <v>6</v>
      </c>
      <c r="B29" s="14" t="s">
        <v>49</v>
      </c>
      <c r="C29" s="14" t="s">
        <v>52</v>
      </c>
      <c r="D29" s="99">
        <v>56</v>
      </c>
      <c r="E29" s="11">
        <v>156</v>
      </c>
      <c r="F29" s="12">
        <v>500</v>
      </c>
      <c r="G29" s="13">
        <v>2.5</v>
      </c>
      <c r="H29" s="18">
        <v>4.8596955432190994</v>
      </c>
      <c r="I29" s="18">
        <v>5.0750669709217444</v>
      </c>
      <c r="J29" s="18">
        <v>4.8322168535240051</v>
      </c>
      <c r="K29" s="18">
        <v>4.2676890981408748</v>
      </c>
      <c r="L29" s="18">
        <v>5.6160577124571622</v>
      </c>
      <c r="M29" s="18">
        <v>4.4529909429195218</v>
      </c>
      <c r="N29" s="18">
        <v>4.4803328377903329</v>
      </c>
      <c r="O29" s="18">
        <v>4.6061254716035558</v>
      </c>
      <c r="P29" s="18">
        <v>4.7157178207830777</v>
      </c>
      <c r="Q29" s="17"/>
      <c r="R29" s="18">
        <v>4.29355279955998</v>
      </c>
      <c r="S29" s="18">
        <v>2.1263067992662088</v>
      </c>
      <c r="T29" s="18">
        <v>4.6365218566525064</v>
      </c>
      <c r="U29" s="18">
        <v>3.9272657099702091</v>
      </c>
      <c r="V29" s="18">
        <v>4.3543279759464459</v>
      </c>
      <c r="W29" s="17"/>
      <c r="X29" s="17"/>
    </row>
    <row r="30" spans="1:24" s="14" customFormat="1" x14ac:dyDescent="0.2">
      <c r="A30" s="4" t="s">
        <v>6</v>
      </c>
      <c r="B30" s="14" t="s">
        <v>49</v>
      </c>
      <c r="C30" s="14" t="s">
        <v>52</v>
      </c>
      <c r="D30" s="99">
        <v>56</v>
      </c>
      <c r="E30" s="11">
        <v>256</v>
      </c>
      <c r="F30" s="12">
        <v>926</v>
      </c>
      <c r="G30" s="13">
        <v>5</v>
      </c>
      <c r="H30" s="18">
        <v>4.7526942186920644</v>
      </c>
      <c r="I30" s="18">
        <v>5.0756204985066304</v>
      </c>
      <c r="J30" s="18">
        <v>3.5026317175235162</v>
      </c>
      <c r="K30" s="18">
        <v>4.8139947734946018</v>
      </c>
      <c r="L30" s="18">
        <v>5.7805718338827035</v>
      </c>
      <c r="M30" s="18">
        <v>3.8800344466901966</v>
      </c>
      <c r="N30" s="18">
        <v>3.7290072222479407</v>
      </c>
      <c r="O30" s="18">
        <v>3.9674732852631398</v>
      </c>
      <c r="P30" s="18">
        <v>4.7476334285578039</v>
      </c>
      <c r="Q30" s="17"/>
      <c r="R30" s="18">
        <v>4.137061274189139</v>
      </c>
      <c r="S30" s="18">
        <v>3.4108458723872634</v>
      </c>
      <c r="T30" s="18">
        <v>4.3490904221088087</v>
      </c>
      <c r="U30" s="18">
        <v>4.182487391998297</v>
      </c>
      <c r="V30" s="18">
        <v>4.5439602154379894</v>
      </c>
      <c r="W30" s="17"/>
      <c r="X30" s="17"/>
    </row>
    <row r="31" spans="1:24" s="14" customFormat="1" x14ac:dyDescent="0.2">
      <c r="A31" s="4" t="s">
        <v>6</v>
      </c>
      <c r="B31" s="14" t="s">
        <v>49</v>
      </c>
      <c r="C31" s="14" t="s">
        <v>52</v>
      </c>
      <c r="D31" s="99">
        <v>56</v>
      </c>
      <c r="E31" s="11">
        <v>356</v>
      </c>
      <c r="F31" s="12">
        <v>3704</v>
      </c>
      <c r="G31" s="13">
        <v>16</v>
      </c>
      <c r="H31" s="18">
        <v>5.0291580255749162</v>
      </c>
      <c r="I31" s="18">
        <v>4.6770876582038303</v>
      </c>
      <c r="J31" s="18">
        <v>4.1892110571824324</v>
      </c>
      <c r="K31" s="18">
        <v>4.9561220111063218</v>
      </c>
      <c r="L31" s="18">
        <v>5.0175138653346316</v>
      </c>
      <c r="M31" s="18">
        <v>3.2178767951631388</v>
      </c>
      <c r="N31" s="18">
        <v>3.681436526860383</v>
      </c>
      <c r="O31" s="18">
        <v>5.2145733005020602</v>
      </c>
      <c r="P31" s="18">
        <v>4.5090233849241512</v>
      </c>
      <c r="Q31" s="17"/>
      <c r="R31" s="18">
        <v>3.6224340814673384</v>
      </c>
      <c r="S31" s="18">
        <v>3.3269893759078335</v>
      </c>
      <c r="T31" s="18">
        <v>3.9935959363627034</v>
      </c>
      <c r="U31" s="18">
        <v>4.0504540819393311</v>
      </c>
      <c r="V31" s="18">
        <v>3.5373687952284856</v>
      </c>
      <c r="W31" s="17"/>
      <c r="X31" s="17"/>
    </row>
    <row r="32" spans="1:24" s="14" customFormat="1" x14ac:dyDescent="0.2">
      <c r="A32" s="4" t="s">
        <v>6</v>
      </c>
      <c r="B32" s="14" t="s">
        <v>16</v>
      </c>
      <c r="C32" s="14" t="s">
        <v>17</v>
      </c>
      <c r="D32" s="99">
        <v>59</v>
      </c>
      <c r="E32" s="11">
        <v>159</v>
      </c>
      <c r="F32" s="12">
        <v>500</v>
      </c>
      <c r="G32" s="13">
        <v>2.5</v>
      </c>
      <c r="H32" s="18">
        <v>5.1144045604743944</v>
      </c>
      <c r="I32" s="18">
        <v>5.2412427843820817</v>
      </c>
      <c r="J32" s="18">
        <v>4.6514012864572578</v>
      </c>
      <c r="K32" s="18">
        <v>5.3429178877673795</v>
      </c>
      <c r="L32" s="18">
        <v>5.7410975244983078</v>
      </c>
      <c r="M32" s="18">
        <v>5.1019349110575165</v>
      </c>
      <c r="N32" s="18">
        <v>4.7749944650710159</v>
      </c>
      <c r="O32" s="18">
        <v>5.0531868049858151</v>
      </c>
      <c r="P32" s="18">
        <v>6.280215402598837</v>
      </c>
      <c r="Q32" s="17"/>
      <c r="R32" s="18">
        <v>4.1363352602114878</v>
      </c>
      <c r="S32" s="18">
        <v>6.0318843281591663</v>
      </c>
      <c r="T32" s="18">
        <v>3.8727573892684948</v>
      </c>
      <c r="U32" s="18">
        <v>4.5806502956604973</v>
      </c>
      <c r="V32" s="18">
        <v>4.7859074986043444</v>
      </c>
      <c r="W32" s="18">
        <v>4.6587374399245993</v>
      </c>
      <c r="X32" s="17"/>
    </row>
    <row r="33" spans="1:24" s="14" customFormat="1" x14ac:dyDescent="0.2">
      <c r="A33" s="4" t="s">
        <v>6</v>
      </c>
      <c r="B33" s="14" t="s">
        <v>16</v>
      </c>
      <c r="C33" s="14" t="s">
        <v>17</v>
      </c>
      <c r="D33" s="99">
        <v>59</v>
      </c>
      <c r="E33" s="11">
        <v>259</v>
      </c>
      <c r="F33" s="12">
        <v>926</v>
      </c>
      <c r="G33" s="13">
        <v>5</v>
      </c>
      <c r="H33" s="18">
        <v>5.0002075522007843</v>
      </c>
      <c r="I33" s="18">
        <v>5.1308777797975429</v>
      </c>
      <c r="J33" s="18">
        <v>5.3593429108616215</v>
      </c>
      <c r="K33" s="18">
        <v>4.5617769549275762</v>
      </c>
      <c r="L33" s="18">
        <v>5.8826771008727166</v>
      </c>
      <c r="M33" s="18">
        <v>4.4992662615636814</v>
      </c>
      <c r="N33" s="18">
        <v>4.5631677202836167</v>
      </c>
      <c r="O33" s="18">
        <v>4.4782837321677</v>
      </c>
      <c r="P33" s="18">
        <v>6.7531203609560677</v>
      </c>
      <c r="Q33" s="17"/>
      <c r="R33" s="18">
        <v>4.2857600969431591</v>
      </c>
      <c r="S33" s="18">
        <v>6.2878749786517583</v>
      </c>
      <c r="T33" s="18">
        <v>4.5161803903537345</v>
      </c>
      <c r="U33" s="18">
        <v>4.6573574039481702</v>
      </c>
      <c r="V33" s="18">
        <v>5.8563999828115252</v>
      </c>
      <c r="W33" s="18">
        <v>4.4781120433991592</v>
      </c>
      <c r="X33" s="17"/>
    </row>
    <row r="34" spans="1:24" s="14" customFormat="1" x14ac:dyDescent="0.2">
      <c r="A34" s="4" t="s">
        <v>6</v>
      </c>
      <c r="B34" s="14" t="s">
        <v>16</v>
      </c>
      <c r="C34" s="14" t="s">
        <v>17</v>
      </c>
      <c r="D34" s="99">
        <v>59</v>
      </c>
      <c r="E34" s="11">
        <v>359</v>
      </c>
      <c r="F34" s="12">
        <v>3704</v>
      </c>
      <c r="G34" s="13">
        <v>16</v>
      </c>
      <c r="H34" s="18">
        <v>4.7759021854136163</v>
      </c>
      <c r="I34" s="18">
        <v>5.0969894395013151</v>
      </c>
      <c r="J34" s="18">
        <v>5.6338930092927058</v>
      </c>
      <c r="K34" s="18">
        <v>3.8512208521049329</v>
      </c>
      <c r="L34" s="18">
        <v>5.5740277629775736</v>
      </c>
      <c r="M34" s="18">
        <v>4.531344714363307</v>
      </c>
      <c r="N34" s="18">
        <v>3.6879086667337044</v>
      </c>
      <c r="O34" s="18">
        <v>5.5355125353111596</v>
      </c>
      <c r="P34" s="18">
        <v>5.8524896893846403</v>
      </c>
      <c r="Q34" s="17"/>
      <c r="R34" s="18">
        <v>3.6841129726877706</v>
      </c>
      <c r="S34" s="18">
        <v>3.5665822258314273</v>
      </c>
      <c r="T34" s="18">
        <v>4.2274933965922843</v>
      </c>
      <c r="U34" s="18">
        <v>5.321920682945132</v>
      </c>
      <c r="V34" s="18">
        <v>4.3653120750490073</v>
      </c>
      <c r="W34" s="18">
        <v>4.306191170291739</v>
      </c>
      <c r="X34" s="17"/>
    </row>
    <row r="35" spans="1:24" s="14" customFormat="1" x14ac:dyDescent="0.2">
      <c r="A35" s="4" t="s">
        <v>6</v>
      </c>
      <c r="B35" s="14" t="s">
        <v>16</v>
      </c>
      <c r="C35" s="14" t="s">
        <v>18</v>
      </c>
      <c r="D35" s="99">
        <v>62</v>
      </c>
      <c r="E35" s="11">
        <v>162</v>
      </c>
      <c r="F35" s="12">
        <v>500</v>
      </c>
      <c r="G35" s="13">
        <v>2.5</v>
      </c>
      <c r="H35" s="18">
        <v>5.9786021919468411</v>
      </c>
      <c r="I35" s="18">
        <v>6.1889904863686764</v>
      </c>
      <c r="J35" s="18">
        <v>5.7783739585718044</v>
      </c>
      <c r="K35" s="18">
        <v>5.7551790118009416</v>
      </c>
      <c r="L35" s="18">
        <v>6.0211602820650914</v>
      </c>
      <c r="M35" s="18">
        <v>4.5993192981108582</v>
      </c>
      <c r="N35" s="18">
        <v>6.137578451178042</v>
      </c>
      <c r="O35" s="18">
        <v>4.8317146804076048</v>
      </c>
      <c r="P35" s="18">
        <v>6.5600500417300305</v>
      </c>
      <c r="Q35" s="17"/>
      <c r="R35" s="18">
        <v>6.374083658796998</v>
      </c>
      <c r="S35" s="18">
        <v>6.3317428902444499</v>
      </c>
      <c r="T35" s="18">
        <v>4.0226746941742197</v>
      </c>
      <c r="U35" s="18">
        <v>4.3469446652010708</v>
      </c>
      <c r="V35" s="18">
        <v>5.751598848888591</v>
      </c>
      <c r="W35" s="18">
        <v>4.453456161861939</v>
      </c>
      <c r="X35" s="17"/>
    </row>
    <row r="36" spans="1:24" s="14" customFormat="1" x14ac:dyDescent="0.2">
      <c r="A36" s="4" t="s">
        <v>6</v>
      </c>
      <c r="B36" s="14" t="s">
        <v>16</v>
      </c>
      <c r="C36" s="14" t="s">
        <v>18</v>
      </c>
      <c r="D36" s="99">
        <v>62</v>
      </c>
      <c r="E36" s="11">
        <v>262</v>
      </c>
      <c r="F36" s="12">
        <v>926</v>
      </c>
      <c r="G36" s="13">
        <v>5</v>
      </c>
      <c r="H36" s="18">
        <v>6.3706454915496069</v>
      </c>
      <c r="I36" s="18">
        <v>6.2232523417014702</v>
      </c>
      <c r="J36" s="18">
        <v>4.8992119524131361</v>
      </c>
      <c r="K36" s="18">
        <v>6.1811903085297306</v>
      </c>
      <c r="L36" s="18">
        <v>6.237641967109159</v>
      </c>
      <c r="M36" s="18">
        <v>4.5427642083558677</v>
      </c>
      <c r="N36" s="18">
        <v>5.686336601517791</v>
      </c>
      <c r="O36" s="18">
        <v>5.8289365656783252</v>
      </c>
      <c r="P36" s="18">
        <v>7.1831559195482075</v>
      </c>
      <c r="Q36" s="17"/>
      <c r="R36" s="18">
        <v>7.0860503809165616</v>
      </c>
      <c r="S36" s="18">
        <v>6.6093316423029362</v>
      </c>
      <c r="T36" s="18">
        <v>6.1275478656669708</v>
      </c>
      <c r="U36" s="18">
        <v>5.77914293848516</v>
      </c>
      <c r="V36" s="18">
        <v>5.6555210100200943</v>
      </c>
      <c r="W36" s="18">
        <v>6.0029911748286686</v>
      </c>
      <c r="X36" s="17"/>
    </row>
    <row r="37" spans="1:24" s="14" customFormat="1" x14ac:dyDescent="0.2">
      <c r="A37" s="4" t="s">
        <v>6</v>
      </c>
      <c r="B37" s="14" t="s">
        <v>16</v>
      </c>
      <c r="C37" s="14" t="s">
        <v>18</v>
      </c>
      <c r="D37" s="99">
        <v>62</v>
      </c>
      <c r="E37" s="11">
        <v>362</v>
      </c>
      <c r="F37" s="12">
        <v>3704</v>
      </c>
      <c r="G37" s="13">
        <v>17</v>
      </c>
      <c r="H37" s="18">
        <v>5.8045317310469819</v>
      </c>
      <c r="I37" s="18">
        <v>5.8665635024363141</v>
      </c>
      <c r="J37" s="18">
        <v>5.6539835028588783</v>
      </c>
      <c r="K37" s="18">
        <v>6.1940201374113313</v>
      </c>
      <c r="L37" s="18">
        <v>5.9893970211100536</v>
      </c>
      <c r="M37" s="18">
        <v>5.3255474053128529</v>
      </c>
      <c r="N37" s="18">
        <v>4.0175086943970042</v>
      </c>
      <c r="O37" s="18">
        <v>6.1727295724269453</v>
      </c>
      <c r="P37" s="18">
        <v>6.0494800049836597</v>
      </c>
      <c r="Q37" s="17"/>
      <c r="R37" s="18">
        <v>5.5099132691749455</v>
      </c>
      <c r="S37" s="18">
        <v>4.0335665390821269</v>
      </c>
      <c r="T37" s="18">
        <v>4.4890131084512221</v>
      </c>
      <c r="U37" s="18">
        <v>5.58697796485529</v>
      </c>
      <c r="V37" s="18">
        <v>4.5934724668882394</v>
      </c>
      <c r="W37" s="18">
        <v>5.2952171082022366</v>
      </c>
      <c r="X37" s="17"/>
    </row>
    <row r="38" spans="1:24" s="14" customFormat="1" x14ac:dyDescent="0.2">
      <c r="A38" s="4" t="s">
        <v>6</v>
      </c>
      <c r="B38" s="14" t="s">
        <v>16</v>
      </c>
      <c r="C38" s="14" t="s">
        <v>53</v>
      </c>
      <c r="D38" s="99">
        <v>64</v>
      </c>
      <c r="E38" s="11">
        <v>164</v>
      </c>
      <c r="F38" s="12">
        <v>500</v>
      </c>
      <c r="G38" s="13">
        <v>2.5</v>
      </c>
      <c r="H38" s="18">
        <v>6.0268033578503184</v>
      </c>
      <c r="I38" s="18">
        <v>6.1096909889065971</v>
      </c>
      <c r="J38" s="18">
        <v>6.610989508839908</v>
      </c>
      <c r="K38" s="18">
        <v>5.9753414323489364</v>
      </c>
      <c r="L38" s="18">
        <v>5.6350655529042859</v>
      </c>
      <c r="M38" s="18">
        <v>5.3058460951603283</v>
      </c>
      <c r="N38" s="18">
        <v>6.1344335487077757</v>
      </c>
      <c r="O38" s="18">
        <v>5.53283748042643</v>
      </c>
      <c r="P38" s="18">
        <v>6.0444548659783051</v>
      </c>
      <c r="Q38" s="17"/>
      <c r="R38" s="18">
        <v>6.3869876610440413</v>
      </c>
      <c r="S38" s="18">
        <v>5.7968165661994622</v>
      </c>
      <c r="T38" s="18">
        <v>5.3486904900781136</v>
      </c>
      <c r="U38" s="18">
        <v>5.0467115201275723</v>
      </c>
      <c r="V38" s="18">
        <v>5.1155091344837356</v>
      </c>
      <c r="W38" s="18">
        <v>5.4817582611291291</v>
      </c>
      <c r="X38" s="17"/>
    </row>
    <row r="39" spans="1:24" s="14" customFormat="1" x14ac:dyDescent="0.2">
      <c r="A39" s="4" t="s">
        <v>6</v>
      </c>
      <c r="B39" s="14" t="s">
        <v>16</v>
      </c>
      <c r="C39" s="14" t="s">
        <v>53</v>
      </c>
      <c r="D39" s="99">
        <v>64</v>
      </c>
      <c r="E39" s="11">
        <v>264</v>
      </c>
      <c r="F39" s="12">
        <v>926</v>
      </c>
      <c r="G39" s="13">
        <v>9.5</v>
      </c>
      <c r="H39" s="18">
        <v>6.0381813210447168</v>
      </c>
      <c r="I39" s="18">
        <v>6.1968929674939908</v>
      </c>
      <c r="J39" s="18">
        <v>6.2221605306232322</v>
      </c>
      <c r="K39" s="18">
        <v>5.8371243402796047</v>
      </c>
      <c r="L39" s="18">
        <v>5.8120624077659588</v>
      </c>
      <c r="M39" s="18">
        <v>5.5672252543628762</v>
      </c>
      <c r="N39" s="18">
        <v>5.7731878956074896</v>
      </c>
      <c r="O39" s="18">
        <v>4.5855626747554812</v>
      </c>
      <c r="P39" s="18">
        <v>5.7371412784659128</v>
      </c>
      <c r="Q39" s="17"/>
      <c r="R39" s="18">
        <v>6.5389654047429593</v>
      </c>
      <c r="S39" s="18">
        <v>5.9418379537776698</v>
      </c>
      <c r="T39" s="18">
        <v>5.2394640777439676</v>
      </c>
      <c r="U39" s="18">
        <v>4.8582811643985648</v>
      </c>
      <c r="V39" s="18">
        <v>6.2677177328262674</v>
      </c>
      <c r="W39" s="18">
        <v>4.5944771110763121</v>
      </c>
      <c r="X39" s="17"/>
    </row>
    <row r="40" spans="1:24" s="14" customFormat="1" x14ac:dyDescent="0.2">
      <c r="A40" s="4" t="s">
        <v>6</v>
      </c>
      <c r="B40" s="14" t="s">
        <v>16</v>
      </c>
      <c r="C40" s="14" t="s">
        <v>53</v>
      </c>
      <c r="D40" s="99">
        <v>64</v>
      </c>
      <c r="E40" s="11">
        <v>364</v>
      </c>
      <c r="F40" s="12">
        <v>3704</v>
      </c>
      <c r="G40" s="13">
        <v>19</v>
      </c>
      <c r="H40" s="18">
        <v>5.8165741175929888</v>
      </c>
      <c r="I40" s="18">
        <v>6.3268746800676148</v>
      </c>
      <c r="J40" s="18">
        <v>6.1784132968781593</v>
      </c>
      <c r="K40" s="18">
        <v>5.7436644962048211</v>
      </c>
      <c r="L40" s="18">
        <v>6.0697875946837403</v>
      </c>
      <c r="M40" s="18">
        <v>4.5034827830179687</v>
      </c>
      <c r="N40" s="18">
        <v>5.0998023853852725</v>
      </c>
      <c r="O40" s="18">
        <v>5.1820485239810123</v>
      </c>
      <c r="P40" s="18">
        <v>5.8085904523712628</v>
      </c>
      <c r="Q40" s="17"/>
      <c r="R40" s="18">
        <v>6.17713245925541</v>
      </c>
      <c r="S40" s="18">
        <v>5.1672176754309431</v>
      </c>
      <c r="T40" s="18">
        <v>4.349936443028219</v>
      </c>
      <c r="U40" s="18">
        <v>5.2745370825735023</v>
      </c>
      <c r="V40" s="18">
        <v>5.4305608335899249</v>
      </c>
      <c r="W40" s="18">
        <v>4.2563137185603397</v>
      </c>
      <c r="X40" s="17"/>
    </row>
    <row r="41" spans="1:24" s="14" customFormat="1" x14ac:dyDescent="0.2">
      <c r="A41" s="4" t="s">
        <v>19</v>
      </c>
      <c r="B41" s="14" t="s">
        <v>20</v>
      </c>
      <c r="C41" s="14" t="s">
        <v>21</v>
      </c>
      <c r="D41" s="99">
        <v>68</v>
      </c>
      <c r="E41" s="11">
        <v>168</v>
      </c>
      <c r="F41" s="12">
        <v>500</v>
      </c>
      <c r="G41" s="13">
        <v>2.5</v>
      </c>
      <c r="H41" s="18">
        <v>5.5203412263570257</v>
      </c>
      <c r="I41" s="18">
        <v>5.8603273648590752</v>
      </c>
      <c r="J41" s="18">
        <v>4.8024033657844027</v>
      </c>
      <c r="K41" s="18">
        <v>5.1258637921334618</v>
      </c>
      <c r="L41" s="18">
        <v>6.1882328141982947</v>
      </c>
      <c r="M41" s="18">
        <v>5.1361027674067579</v>
      </c>
      <c r="N41" s="18">
        <v>5.8116759410520284</v>
      </c>
      <c r="O41" s="18">
        <v>5.740953605207463</v>
      </c>
      <c r="P41" s="18">
        <v>5.9897985575998387</v>
      </c>
      <c r="Q41" s="17"/>
      <c r="R41" s="18">
        <v>5.466878023306827</v>
      </c>
      <c r="S41" s="18">
        <v>5.544368714698523</v>
      </c>
      <c r="T41" s="18">
        <v>3.8692685118024439</v>
      </c>
      <c r="U41" s="18">
        <v>4.7898903960788228</v>
      </c>
      <c r="V41" s="18">
        <v>4.9730712650096081</v>
      </c>
      <c r="W41" s="18">
        <v>4.9630889580560051</v>
      </c>
      <c r="X41" s="17"/>
    </row>
    <row r="42" spans="1:24" s="14" customFormat="1" x14ac:dyDescent="0.2">
      <c r="A42" s="4" t="s">
        <v>19</v>
      </c>
      <c r="B42" s="14" t="s">
        <v>20</v>
      </c>
      <c r="C42" s="14" t="s">
        <v>21</v>
      </c>
      <c r="D42" s="99">
        <v>68</v>
      </c>
      <c r="E42" s="11">
        <v>268</v>
      </c>
      <c r="F42" s="12">
        <v>926</v>
      </c>
      <c r="G42" s="13">
        <v>8.5</v>
      </c>
      <c r="H42" s="18">
        <v>5.41768114480577</v>
      </c>
      <c r="I42" s="18">
        <v>5.4309150170088962</v>
      </c>
      <c r="J42" s="18">
        <v>5.3245173820134521</v>
      </c>
      <c r="K42" s="18">
        <v>3.7415355744779983</v>
      </c>
      <c r="L42" s="18">
        <v>6.224756230790506</v>
      </c>
      <c r="M42" s="18">
        <v>5.0082312461762548</v>
      </c>
      <c r="N42" s="18">
        <v>5.5593593440814058</v>
      </c>
      <c r="O42" s="18">
        <v>5.1170114502100228</v>
      </c>
      <c r="P42" s="18">
        <v>6.1796840452326158</v>
      </c>
      <c r="Q42" s="17"/>
      <c r="R42" s="18">
        <v>5.7826823731680292</v>
      </c>
      <c r="S42" s="18">
        <v>5.7470544914403572</v>
      </c>
      <c r="T42" s="18">
        <v>3.7675565578678345</v>
      </c>
      <c r="U42" s="18">
        <v>4.740824509831274</v>
      </c>
      <c r="V42" s="18">
        <v>4.325624450254093</v>
      </c>
      <c r="W42" s="18">
        <v>4.7672769998515028</v>
      </c>
      <c r="X42" s="17"/>
    </row>
    <row r="43" spans="1:24" s="14" customFormat="1" x14ac:dyDescent="0.2">
      <c r="A43" s="4" t="s">
        <v>19</v>
      </c>
      <c r="B43" s="14" t="s">
        <v>20</v>
      </c>
      <c r="C43" s="14" t="s">
        <v>21</v>
      </c>
      <c r="D43" s="99">
        <v>68</v>
      </c>
      <c r="E43" s="11">
        <v>368</v>
      </c>
      <c r="F43" s="12">
        <v>3704</v>
      </c>
      <c r="G43" s="13">
        <v>16.5</v>
      </c>
      <c r="H43" s="18">
        <v>5.6362787560090748</v>
      </c>
      <c r="I43" s="18">
        <v>5.6080318268606533</v>
      </c>
      <c r="J43" s="18">
        <v>5.460590370722433</v>
      </c>
      <c r="K43" s="18">
        <v>5.1162624040323008</v>
      </c>
      <c r="L43" s="18">
        <v>6.5788293479447475</v>
      </c>
      <c r="M43" s="18">
        <v>5.1275546791207276</v>
      </c>
      <c r="N43" s="18">
        <v>5.9185711182359428</v>
      </c>
      <c r="O43" s="18">
        <v>5.4643424459862997</v>
      </c>
      <c r="P43" s="18">
        <v>5.7615863474890769</v>
      </c>
      <c r="Q43" s="17"/>
      <c r="R43" s="18">
        <v>6.0163689759506456</v>
      </c>
      <c r="S43" s="18">
        <v>5.0555585321121805</v>
      </c>
      <c r="T43" s="18">
        <v>4.8193104661755539</v>
      </c>
      <c r="U43" s="18">
        <v>4.7176746771715896</v>
      </c>
      <c r="V43" s="18">
        <v>4.697717785256506</v>
      </c>
      <c r="W43" s="18">
        <v>4.6907504839469647</v>
      </c>
      <c r="X43" s="17"/>
    </row>
    <row r="44" spans="1:24" s="14" customFormat="1" x14ac:dyDescent="0.2">
      <c r="A44" s="4" t="s">
        <v>19</v>
      </c>
      <c r="B44" s="14" t="s">
        <v>20</v>
      </c>
      <c r="C44" s="14" t="s">
        <v>54</v>
      </c>
      <c r="D44" s="99">
        <v>72</v>
      </c>
      <c r="E44" s="11">
        <v>172</v>
      </c>
      <c r="F44" s="12">
        <v>500</v>
      </c>
      <c r="G44" s="13">
        <v>2</v>
      </c>
      <c r="H44" s="18">
        <v>5.4901176481844036</v>
      </c>
      <c r="I44" s="18">
        <v>5.3044450042290316</v>
      </c>
      <c r="J44" s="18">
        <v>5.3459448186039014</v>
      </c>
      <c r="K44" s="18">
        <v>5.4204699741234483</v>
      </c>
      <c r="L44" s="18">
        <v>6.5385514576015256</v>
      </c>
      <c r="M44" s="18">
        <v>4.872907202339837</v>
      </c>
      <c r="N44" s="18">
        <v>5.1984554164532852</v>
      </c>
      <c r="O44" s="18">
        <v>5.5806278694670732</v>
      </c>
      <c r="P44" s="18">
        <v>6.1432208562304247</v>
      </c>
      <c r="Q44" s="17"/>
      <c r="R44" s="18">
        <v>6.2745183505203856</v>
      </c>
      <c r="S44" s="18">
        <v>5.9543337717914699</v>
      </c>
      <c r="T44" s="18">
        <v>2.6611631475772279</v>
      </c>
      <c r="U44" s="18">
        <v>4.950274911290272</v>
      </c>
      <c r="V44" s="18">
        <v>5.3855704267613316</v>
      </c>
      <c r="W44" s="18">
        <v>3.8853277857763002</v>
      </c>
      <c r="X44" s="17"/>
    </row>
    <row r="45" spans="1:24" s="14" customFormat="1" x14ac:dyDescent="0.2">
      <c r="A45" s="4" t="s">
        <v>19</v>
      </c>
      <c r="B45" s="14" t="s">
        <v>20</v>
      </c>
      <c r="C45" s="14" t="s">
        <v>54</v>
      </c>
      <c r="D45" s="99">
        <v>72</v>
      </c>
      <c r="E45" s="11">
        <v>272</v>
      </c>
      <c r="F45" s="12">
        <v>926</v>
      </c>
      <c r="G45" s="13">
        <v>3.5</v>
      </c>
      <c r="H45" s="18">
        <v>5.6402225339401681</v>
      </c>
      <c r="I45" s="18">
        <v>5.2785258033821254</v>
      </c>
      <c r="J45" s="18">
        <v>5.2770889456656356</v>
      </c>
      <c r="K45" s="18">
        <v>5.7764861808005268</v>
      </c>
      <c r="L45" s="18">
        <v>6.6900692243926851</v>
      </c>
      <c r="M45" s="18">
        <v>4.7762199213506786</v>
      </c>
      <c r="N45" s="18">
        <v>5.3735179784246627</v>
      </c>
      <c r="O45" s="18">
        <v>5.2870016508325408</v>
      </c>
      <c r="P45" s="18">
        <v>5.968851976189109</v>
      </c>
      <c r="Q45" s="17"/>
      <c r="R45" s="18">
        <v>4.9291555044913675</v>
      </c>
      <c r="S45" s="18">
        <v>4.8113913477697929</v>
      </c>
      <c r="T45" s="18">
        <v>3.7063357566490227</v>
      </c>
      <c r="U45" s="18">
        <v>4.794170276177824</v>
      </c>
      <c r="V45" s="18">
        <v>5.3626122514713632</v>
      </c>
      <c r="W45" s="18">
        <v>3.9831231576069381</v>
      </c>
      <c r="X45" s="17"/>
    </row>
    <row r="46" spans="1:24" x14ac:dyDescent="0.2">
      <c r="A46" s="4" t="s">
        <v>19</v>
      </c>
      <c r="B46" s="14" t="s">
        <v>20</v>
      </c>
      <c r="C46" s="14" t="s">
        <v>54</v>
      </c>
      <c r="D46" s="99">
        <v>72</v>
      </c>
      <c r="E46" s="11">
        <v>372</v>
      </c>
      <c r="F46" s="12">
        <v>3704</v>
      </c>
      <c r="G46" s="13">
        <v>13.5</v>
      </c>
      <c r="H46" s="18">
        <v>5.6800185218392487</v>
      </c>
      <c r="I46" s="18">
        <v>5.6454426695504196</v>
      </c>
      <c r="J46" s="18">
        <v>4.8468722095991259</v>
      </c>
      <c r="K46" s="18">
        <v>6.1968271151219847</v>
      </c>
      <c r="L46" s="18">
        <v>6.6693461772515619</v>
      </c>
      <c r="M46" s="18">
        <v>4.9987374484443174</v>
      </c>
      <c r="N46" s="18">
        <v>4.450295256252347</v>
      </c>
      <c r="O46" s="18">
        <v>4.7501869400245269</v>
      </c>
      <c r="P46" s="18">
        <v>6.4251586536520158</v>
      </c>
      <c r="Q46" s="19"/>
      <c r="R46" s="18">
        <v>4.3864198280382229</v>
      </c>
      <c r="S46" s="18">
        <v>4.4663514831157771</v>
      </c>
      <c r="T46" s="18">
        <v>4.3411843441416789</v>
      </c>
      <c r="U46" s="18">
        <v>4.6176653322504215</v>
      </c>
      <c r="V46" s="18">
        <v>4.6637234977173039</v>
      </c>
      <c r="W46" s="18">
        <v>4.7888736096554556</v>
      </c>
      <c r="X46" s="19"/>
    </row>
    <row r="47" spans="1:24" x14ac:dyDescent="0.2">
      <c r="A47" s="4" t="s">
        <v>19</v>
      </c>
      <c r="B47" s="15" t="s">
        <v>22</v>
      </c>
      <c r="C47" s="15" t="s">
        <v>23</v>
      </c>
      <c r="D47" s="99">
        <v>77</v>
      </c>
      <c r="E47" s="11">
        <v>177</v>
      </c>
      <c r="F47" s="12">
        <v>500</v>
      </c>
      <c r="G47" s="13">
        <v>2</v>
      </c>
      <c r="H47" s="18">
        <v>5.9569673929277887</v>
      </c>
      <c r="I47" s="18">
        <v>6.0476642296507901</v>
      </c>
      <c r="J47" s="18">
        <v>6.0208066170103853</v>
      </c>
      <c r="K47" s="18">
        <v>5.0129935263338803</v>
      </c>
      <c r="L47" s="18">
        <v>6.9330820996935749</v>
      </c>
      <c r="M47" s="18">
        <v>5.1091285961251209</v>
      </c>
      <c r="N47" s="18">
        <v>5.1962530130606028</v>
      </c>
      <c r="O47" s="18">
        <v>4.9179022761664548</v>
      </c>
      <c r="P47" s="18">
        <v>6.7258441809094833</v>
      </c>
      <c r="Q47" s="19"/>
      <c r="R47" s="18">
        <v>5.1585852922733739</v>
      </c>
      <c r="S47" s="18">
        <v>6.6012470775551293</v>
      </c>
      <c r="T47" s="18">
        <v>5.3583325619747484</v>
      </c>
      <c r="U47" s="18">
        <v>5.0558860302676836</v>
      </c>
      <c r="V47" s="18">
        <v>5.3947923390868784</v>
      </c>
      <c r="W47" s="18">
        <v>4.2003890502163808</v>
      </c>
      <c r="X47" s="19"/>
    </row>
    <row r="48" spans="1:24" x14ac:dyDescent="0.2">
      <c r="A48" s="4" t="s">
        <v>19</v>
      </c>
      <c r="B48" s="15" t="s">
        <v>22</v>
      </c>
      <c r="C48" s="15" t="s">
        <v>23</v>
      </c>
      <c r="D48" s="99">
        <v>77</v>
      </c>
      <c r="E48" s="11">
        <v>277</v>
      </c>
      <c r="F48" s="12">
        <v>926</v>
      </c>
      <c r="G48" s="13">
        <v>4</v>
      </c>
      <c r="H48" s="18">
        <v>5.8812283806665278</v>
      </c>
      <c r="I48" s="18">
        <v>6.085950516452022</v>
      </c>
      <c r="J48" s="18">
        <v>5.5787038314634882</v>
      </c>
      <c r="K48" s="18">
        <v>6.0811482556272933</v>
      </c>
      <c r="L48" s="18">
        <v>6.9345415730268201</v>
      </c>
      <c r="M48" s="18">
        <v>4.6672307381975235</v>
      </c>
      <c r="N48" s="18">
        <v>5.7242160437760639</v>
      </c>
      <c r="O48" s="18">
        <v>5.0158637282987364</v>
      </c>
      <c r="P48" s="18">
        <v>6.8454089204813657</v>
      </c>
      <c r="Q48" s="19"/>
      <c r="R48" s="18">
        <v>5.4819855463640366</v>
      </c>
      <c r="S48" s="18">
        <v>4.9980733418879151</v>
      </c>
      <c r="T48" s="18">
        <v>4.3449858510684249</v>
      </c>
      <c r="U48" s="18">
        <v>5.0725117285633097</v>
      </c>
      <c r="V48" s="18">
        <v>5.1029364175610379</v>
      </c>
      <c r="W48" s="18">
        <v>4.7795136441543837</v>
      </c>
      <c r="X48" s="19"/>
    </row>
    <row r="49" spans="1:24" x14ac:dyDescent="0.2">
      <c r="A49" s="4" t="s">
        <v>19</v>
      </c>
      <c r="B49" s="15" t="s">
        <v>22</v>
      </c>
      <c r="C49" s="15" t="s">
        <v>23</v>
      </c>
      <c r="D49" s="99">
        <v>77</v>
      </c>
      <c r="E49" s="11">
        <v>377</v>
      </c>
      <c r="F49" s="12">
        <v>3704</v>
      </c>
      <c r="G49" s="13">
        <v>13.5</v>
      </c>
      <c r="H49" s="18">
        <v>6.0869034279287488</v>
      </c>
      <c r="I49" s="18">
        <v>5.84998144602182</v>
      </c>
      <c r="J49" s="18">
        <v>4.7854936707583171</v>
      </c>
      <c r="K49" s="18">
        <v>5.9190546074288246</v>
      </c>
      <c r="L49" s="18">
        <v>6.5614869927525312</v>
      </c>
      <c r="M49" s="18">
        <v>4.4119707739457832</v>
      </c>
      <c r="N49" s="18">
        <v>4.9129902460354833</v>
      </c>
      <c r="O49" s="18">
        <v>5.1009431254776905</v>
      </c>
      <c r="P49" s="18">
        <v>6.1921493475359526</v>
      </c>
      <c r="Q49" s="19"/>
      <c r="R49" s="18">
        <v>4.8117760546752937</v>
      </c>
      <c r="S49" s="18">
        <v>5.4607332118521041</v>
      </c>
      <c r="T49" s="18">
        <v>3.9441074680598893</v>
      </c>
      <c r="U49" s="18">
        <v>5.1354707630274312</v>
      </c>
      <c r="V49" s="18">
        <v>5.5758023770959433</v>
      </c>
      <c r="W49" s="18">
        <v>4.2699769662970244</v>
      </c>
      <c r="X49" s="19"/>
    </row>
    <row r="50" spans="1:24" ht="12.75" customHeight="1" x14ac:dyDescent="0.2">
      <c r="A50" s="4"/>
      <c r="F50" s="12"/>
      <c r="G50" s="8"/>
    </row>
    <row r="51" spans="1:24" ht="12.75" customHeight="1" x14ac:dyDescent="0.2">
      <c r="A51" s="4"/>
      <c r="F51" s="12"/>
      <c r="G51" s="8"/>
    </row>
    <row r="52" spans="1:24" ht="12.75" customHeight="1" x14ac:dyDescent="0.2">
      <c r="A52" s="4"/>
      <c r="F52" s="12"/>
      <c r="G52" s="8"/>
    </row>
    <row r="53" spans="1:24" ht="12.75" customHeight="1" x14ac:dyDescent="0.2">
      <c r="A53" s="4"/>
      <c r="F53" s="12"/>
      <c r="G53" s="9"/>
    </row>
    <row r="54" spans="1:24" ht="12.75" customHeight="1" x14ac:dyDescent="0.2">
      <c r="A54" s="4"/>
      <c r="F54" s="12"/>
      <c r="G54" s="9"/>
    </row>
    <row r="55" spans="1:24" ht="12.75" customHeight="1" x14ac:dyDescent="0.2">
      <c r="A55" s="4"/>
      <c r="F55" s="12"/>
      <c r="G55" s="9"/>
    </row>
    <row r="56" spans="1:24" x14ac:dyDescent="0.2">
      <c r="A56" s="4"/>
      <c r="F56" s="12"/>
      <c r="G56" s="9"/>
    </row>
    <row r="57" spans="1:24" x14ac:dyDescent="0.2">
      <c r="A57" s="4"/>
      <c r="F57" s="12"/>
      <c r="G57" s="9"/>
    </row>
    <row r="58" spans="1:24" x14ac:dyDescent="0.2">
      <c r="A58" s="4"/>
      <c r="F58" s="12"/>
      <c r="G58" s="9"/>
    </row>
    <row r="59" spans="1:24" x14ac:dyDescent="0.2">
      <c r="A59" s="4"/>
      <c r="F59" s="12"/>
      <c r="G59" s="9"/>
    </row>
    <row r="60" spans="1:24" x14ac:dyDescent="0.2">
      <c r="A60" s="4"/>
      <c r="F60" s="12"/>
      <c r="G60" s="9"/>
    </row>
    <row r="61" spans="1:24" x14ac:dyDescent="0.2">
      <c r="A61" s="4"/>
      <c r="F61" s="12"/>
      <c r="G61" s="9"/>
    </row>
    <row r="68" spans="2:2" x14ac:dyDescent="0.2">
      <c r="B68" s="5"/>
    </row>
    <row r="69" spans="2:2" x14ac:dyDescent="0.2">
      <c r="B69" s="5"/>
    </row>
    <row r="70" spans="2:2" x14ac:dyDescent="0.2">
      <c r="B70" s="5"/>
    </row>
    <row r="71" spans="2:2" x14ac:dyDescent="0.2">
      <c r="B71" s="5"/>
    </row>
    <row r="72" spans="2:2" x14ac:dyDescent="0.2">
      <c r="B72" s="5"/>
    </row>
    <row r="73" spans="2:2" x14ac:dyDescent="0.2">
      <c r="B73" s="5"/>
    </row>
  </sheetData>
  <phoneticPr fontId="4"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28"/>
  <sheetViews>
    <sheetView workbookViewId="0">
      <selection activeCell="D1" sqref="D1:D65536"/>
    </sheetView>
  </sheetViews>
  <sheetFormatPr defaultRowHeight="12.75" x14ac:dyDescent="0.2"/>
  <cols>
    <col min="1" max="1" width="5.7109375" style="12" customWidth="1"/>
    <col min="2" max="2" width="22.85546875" style="15" bestFit="1" customWidth="1"/>
    <col min="3" max="3" width="38" style="15" bestFit="1" customWidth="1"/>
    <col min="4" max="4" width="10.42578125" style="15" customWidth="1"/>
    <col min="5" max="5" width="16.28515625" style="12" customWidth="1"/>
    <col min="6" max="6" width="14.140625" style="15" customWidth="1"/>
    <col min="7" max="7" width="11.28515625" style="15" bestFit="1" customWidth="1"/>
    <col min="8" max="8" width="10.42578125" style="15" customWidth="1"/>
    <col min="9" max="9" width="9.85546875" style="15" customWidth="1"/>
    <col min="10" max="10" width="10.140625" style="15" customWidth="1"/>
    <col min="11" max="11" width="11.42578125" style="15" customWidth="1"/>
    <col min="12" max="13" width="8.85546875" style="15" customWidth="1"/>
    <col min="14" max="23" width="9.140625" style="15"/>
    <col min="24" max="24" width="11.85546875" style="15" customWidth="1"/>
    <col min="25" max="25" width="12.28515625" style="15" customWidth="1"/>
    <col min="26" max="27" width="9.140625" style="15"/>
    <col min="28" max="28" width="12.28515625" style="15" customWidth="1"/>
    <col min="29" max="29" width="11.42578125" style="15" customWidth="1"/>
    <col min="30" max="30" width="11.7109375" style="15" customWidth="1"/>
    <col min="31" max="31" width="11.5703125" style="15" customWidth="1"/>
    <col min="32" max="16384" width="9.140625" style="15"/>
  </cols>
  <sheetData>
    <row r="1" spans="1:31" s="10" customFormat="1" ht="25.5" customHeight="1" x14ac:dyDescent="0.2">
      <c r="A1" s="1" t="s">
        <v>0</v>
      </c>
      <c r="B1" s="2" t="s">
        <v>1</v>
      </c>
      <c r="C1" s="1" t="s">
        <v>2</v>
      </c>
      <c r="D1" s="3" t="s">
        <v>89</v>
      </c>
      <c r="E1" s="3" t="s">
        <v>3</v>
      </c>
      <c r="F1" s="1" t="s">
        <v>4</v>
      </c>
      <c r="G1" s="1" t="s">
        <v>5</v>
      </c>
      <c r="H1" s="3" t="s">
        <v>57</v>
      </c>
      <c r="I1" s="3" t="s">
        <v>58</v>
      </c>
      <c r="J1" s="3" t="s">
        <v>59</v>
      </c>
      <c r="K1" s="3" t="s">
        <v>60</v>
      </c>
      <c r="L1" s="3" t="s">
        <v>61</v>
      </c>
      <c r="M1" s="3" t="s">
        <v>62</v>
      </c>
      <c r="N1" s="3" t="s">
        <v>63</v>
      </c>
      <c r="O1" s="3" t="s">
        <v>64</v>
      </c>
      <c r="P1" s="3" t="s">
        <v>32</v>
      </c>
      <c r="Q1" s="3" t="s">
        <v>33</v>
      </c>
      <c r="R1" s="3" t="s">
        <v>35</v>
      </c>
      <c r="S1" s="3" t="s">
        <v>36</v>
      </c>
      <c r="T1" s="3" t="s">
        <v>34</v>
      </c>
      <c r="U1" s="3" t="s">
        <v>37</v>
      </c>
      <c r="V1" s="3" t="s">
        <v>38</v>
      </c>
      <c r="W1" s="3" t="s">
        <v>39</v>
      </c>
      <c r="X1" s="3" t="s">
        <v>40</v>
      </c>
      <c r="Y1" s="3" t="s">
        <v>41</v>
      </c>
      <c r="Z1" s="3" t="s">
        <v>65</v>
      </c>
      <c r="AA1" s="3" t="s">
        <v>66</v>
      </c>
      <c r="AB1" s="3" t="s">
        <v>67</v>
      </c>
      <c r="AC1" s="3" t="s">
        <v>68</v>
      </c>
      <c r="AD1" s="3" t="s">
        <v>69</v>
      </c>
      <c r="AE1" s="3" t="s">
        <v>70</v>
      </c>
    </row>
    <row r="2" spans="1:31" s="14" customFormat="1" x14ac:dyDescent="0.2">
      <c r="A2" s="4" t="s">
        <v>6</v>
      </c>
      <c r="B2" s="4" t="s">
        <v>9</v>
      </c>
      <c r="C2" s="4" t="s">
        <v>46</v>
      </c>
      <c r="D2" s="100">
        <v>8</v>
      </c>
      <c r="E2" s="7">
        <v>10080</v>
      </c>
      <c r="F2" s="12">
        <v>500</v>
      </c>
      <c r="G2" s="13">
        <v>2</v>
      </c>
      <c r="H2" s="21">
        <v>2.5866137791521489</v>
      </c>
      <c r="I2" s="21">
        <v>3.2198462153365828</v>
      </c>
      <c r="J2" s="21">
        <v>2.6434217963776225</v>
      </c>
      <c r="K2" s="21">
        <v>4.1000246126072337</v>
      </c>
      <c r="L2" s="21">
        <v>4.4055429570654026</v>
      </c>
      <c r="M2" s="21">
        <v>3.2533364182680256</v>
      </c>
      <c r="N2" s="21">
        <v>3.2016013950842672</v>
      </c>
      <c r="O2" s="21">
        <v>4.3218681658608267</v>
      </c>
      <c r="P2" s="21">
        <v>4.716699266647983</v>
      </c>
      <c r="Q2" s="21">
        <v>4.5221956922033097</v>
      </c>
      <c r="R2" s="21">
        <v>5.0111482797082401</v>
      </c>
      <c r="S2" s="21">
        <v>4.6672214708348907</v>
      </c>
      <c r="T2" s="21">
        <v>3.2214604869103978</v>
      </c>
      <c r="U2" s="21">
        <v>3.864366460652255</v>
      </c>
      <c r="V2" s="21">
        <v>4.7507788518267047</v>
      </c>
      <c r="W2" s="21">
        <v>4.2124413258700741</v>
      </c>
      <c r="X2" s="21">
        <v>4.3605830255369593</v>
      </c>
      <c r="Y2" s="21">
        <v>4.0006855170749169</v>
      </c>
      <c r="Z2" s="21">
        <v>5.3657857876317028</v>
      </c>
      <c r="AA2" s="21">
        <v>5.3163244865910393</v>
      </c>
      <c r="AB2" s="21">
        <v>4.3886283872069871</v>
      </c>
      <c r="AE2" s="21">
        <v>4.5037772107468399</v>
      </c>
    </row>
    <row r="3" spans="1:31" s="14" customFormat="1" x14ac:dyDescent="0.2">
      <c r="A3" s="4" t="s">
        <v>6</v>
      </c>
      <c r="B3" s="4" t="s">
        <v>9</v>
      </c>
      <c r="C3" s="4" t="s">
        <v>46</v>
      </c>
      <c r="D3" s="100">
        <v>8</v>
      </c>
      <c r="E3" s="7">
        <v>20080</v>
      </c>
      <c r="F3" s="12">
        <v>926</v>
      </c>
      <c r="G3" s="13">
        <v>4.5</v>
      </c>
      <c r="H3" s="21">
        <v>2.658156065517566</v>
      </c>
      <c r="I3" s="21">
        <v>3.1965376723984069</v>
      </c>
      <c r="J3" s="21">
        <v>2.6613758938602161</v>
      </c>
      <c r="K3" s="21">
        <v>4.3342579469761633</v>
      </c>
      <c r="L3" s="21">
        <v>4.4857080740233357</v>
      </c>
      <c r="M3" s="21">
        <v>3.3404949746682755</v>
      </c>
      <c r="N3" s="21">
        <v>3.5470739952550265</v>
      </c>
      <c r="O3" s="21">
        <v>3.1663088107951749</v>
      </c>
      <c r="P3" s="21">
        <v>4.7359620239172342</v>
      </c>
      <c r="Q3" s="21">
        <v>4.7148650333549726</v>
      </c>
      <c r="R3" s="21">
        <v>4.8894203846141826</v>
      </c>
      <c r="S3" s="21">
        <v>4.2829794157396552</v>
      </c>
      <c r="T3" s="21">
        <v>3.6608024406643822</v>
      </c>
      <c r="U3" s="21">
        <v>4.3796049605272778</v>
      </c>
      <c r="V3" s="21">
        <v>4.7334622182107235</v>
      </c>
      <c r="W3" s="21">
        <v>4.6634497192383719</v>
      </c>
      <c r="X3" s="21">
        <v>4.5226312193673168</v>
      </c>
      <c r="Y3" s="21">
        <v>4.2232948257373106</v>
      </c>
      <c r="Z3" s="21">
        <v>5.2844376300670781</v>
      </c>
      <c r="AA3" s="21">
        <v>4.9599198033479368</v>
      </c>
      <c r="AB3" s="21">
        <v>4.5970631296631908</v>
      </c>
      <c r="AE3" s="21">
        <v>5.3501883825437666</v>
      </c>
    </row>
    <row r="4" spans="1:31" s="14" customFormat="1" x14ac:dyDescent="0.2">
      <c r="A4" s="4" t="s">
        <v>6</v>
      </c>
      <c r="B4" s="4" t="s">
        <v>9</v>
      </c>
      <c r="C4" s="4" t="s">
        <v>46</v>
      </c>
      <c r="D4" s="100">
        <v>8</v>
      </c>
      <c r="E4" s="7">
        <v>30080</v>
      </c>
      <c r="F4" s="12">
        <v>3704</v>
      </c>
      <c r="G4" s="13">
        <v>13</v>
      </c>
      <c r="H4" s="21">
        <v>2.3126412886164434</v>
      </c>
      <c r="I4" s="21">
        <v>2.9583457952358945</v>
      </c>
      <c r="J4" s="21">
        <v>2.0207029185227143</v>
      </c>
      <c r="K4" s="21">
        <v>3.8411934176651936</v>
      </c>
      <c r="L4" s="21">
        <v>3.9673168104441037</v>
      </c>
      <c r="M4" s="21">
        <v>2.9955877483478894</v>
      </c>
      <c r="N4" s="21">
        <v>3.8491274977184471</v>
      </c>
      <c r="O4" s="21">
        <v>4.2219743183534231</v>
      </c>
      <c r="P4" s="21">
        <v>4.0028347572817111</v>
      </c>
      <c r="Q4" s="21">
        <v>3.6060917168358548</v>
      </c>
      <c r="R4" s="21">
        <v>4.1848391137798657</v>
      </c>
      <c r="S4" s="21">
        <v>2.9477803685211947</v>
      </c>
      <c r="T4" s="21">
        <v>3.6004891335309459</v>
      </c>
      <c r="U4" s="21">
        <v>4.280495713692746</v>
      </c>
      <c r="V4" s="21">
        <v>4.3345493643560964</v>
      </c>
      <c r="W4" s="21">
        <v>4.0981383225000148</v>
      </c>
      <c r="X4" s="21">
        <v>4.7261917592437923</v>
      </c>
      <c r="Y4" s="21">
        <v>3.5864577411148608</v>
      </c>
      <c r="Z4" s="21">
        <v>5.3547249154674486</v>
      </c>
      <c r="AA4" s="21">
        <v>4.7212741840653374</v>
      </c>
      <c r="AB4" s="21">
        <v>4.7308026053242127</v>
      </c>
      <c r="AE4" s="21">
        <v>4.9196100933072691</v>
      </c>
    </row>
    <row r="5" spans="1:31" s="14" customFormat="1" x14ac:dyDescent="0.2">
      <c r="A5" s="4" t="s">
        <v>6</v>
      </c>
      <c r="B5" s="4" t="s">
        <v>12</v>
      </c>
      <c r="C5" s="4" t="s">
        <v>47</v>
      </c>
      <c r="D5" s="100">
        <v>24</v>
      </c>
      <c r="E5" s="7">
        <v>10240</v>
      </c>
      <c r="F5" s="12">
        <v>500</v>
      </c>
      <c r="G5" s="13">
        <v>2.5</v>
      </c>
      <c r="H5" s="21">
        <v>4.0979621684610441</v>
      </c>
      <c r="I5" s="21">
        <v>3.1733101274634024</v>
      </c>
      <c r="J5" s="21">
        <v>4.0634894864407736</v>
      </c>
      <c r="K5" s="21">
        <v>4.1986688840426147</v>
      </c>
      <c r="L5" s="21">
        <v>4.9629475145422965</v>
      </c>
      <c r="M5" s="21">
        <v>3.5164314139943862</v>
      </c>
      <c r="N5" s="21">
        <v>6.3978369260647669</v>
      </c>
      <c r="O5" s="21">
        <v>5.0755274603476854</v>
      </c>
      <c r="P5" s="21">
        <v>4.6836599034890218</v>
      </c>
      <c r="Q5" s="21">
        <v>4.3537160667778076</v>
      </c>
      <c r="R5" s="21">
        <v>4.161086723955564</v>
      </c>
      <c r="S5" s="21">
        <v>3.7641033126586962</v>
      </c>
      <c r="T5" s="21">
        <v>5.483828485242336</v>
      </c>
      <c r="U5" s="21">
        <v>4.210937378131538</v>
      </c>
      <c r="V5" s="21">
        <v>4.3880035185549788</v>
      </c>
      <c r="W5" s="21">
        <v>3.1638434715083088</v>
      </c>
      <c r="X5" s="21">
        <v>4.7503994047693343</v>
      </c>
      <c r="Y5" s="21">
        <v>4.5402261840128713</v>
      </c>
      <c r="Z5" s="21">
        <v>5.5281856741307331</v>
      </c>
      <c r="AA5" s="21">
        <v>6.0419953931121269</v>
      </c>
      <c r="AB5" s="21">
        <v>4.4597345619828372</v>
      </c>
      <c r="AC5" s="21">
        <v>5.4483308170613576</v>
      </c>
      <c r="AE5" s="21">
        <v>4.9894211811883107</v>
      </c>
    </row>
    <row r="6" spans="1:31" s="14" customFormat="1" x14ac:dyDescent="0.2">
      <c r="A6" s="4" t="s">
        <v>6</v>
      </c>
      <c r="B6" s="4" t="s">
        <v>12</v>
      </c>
      <c r="C6" s="4" t="s">
        <v>47</v>
      </c>
      <c r="D6" s="100">
        <v>24</v>
      </c>
      <c r="E6" s="7">
        <v>20240</v>
      </c>
      <c r="F6" s="12">
        <v>926</v>
      </c>
      <c r="G6" s="13">
        <v>6.5</v>
      </c>
      <c r="H6" s="21">
        <v>4.323836114525764</v>
      </c>
      <c r="I6" s="21">
        <v>3.2473457607391563</v>
      </c>
      <c r="J6" s="21">
        <v>3.6840173457794823</v>
      </c>
      <c r="K6" s="21">
        <v>4.1173293544504537</v>
      </c>
      <c r="L6" s="21">
        <v>4.8533173396298972</v>
      </c>
      <c r="M6" s="21">
        <v>3.6786288500124686</v>
      </c>
      <c r="N6" s="21">
        <v>6.2543650504190955</v>
      </c>
      <c r="O6" s="21">
        <v>4.7109532674326928</v>
      </c>
      <c r="P6" s="21">
        <v>5.1414934482358943</v>
      </c>
      <c r="Q6" s="21">
        <v>4.4583935907876366</v>
      </c>
      <c r="R6" s="21">
        <v>4.631383577749844</v>
      </c>
      <c r="S6" s="21">
        <v>3.8305089153017091</v>
      </c>
      <c r="T6" s="21">
        <v>4.3076440195192989</v>
      </c>
      <c r="U6" s="21">
        <v>4.2551406389862567</v>
      </c>
      <c r="V6" s="21">
        <v>4.3976585386755307</v>
      </c>
      <c r="W6" s="21">
        <v>4.5258642239198625</v>
      </c>
      <c r="X6" s="21">
        <v>4.6826118637675451</v>
      </c>
      <c r="Y6" s="21">
        <v>4.7852081788274816</v>
      </c>
      <c r="Z6" s="21">
        <v>5.7124287704708809</v>
      </c>
      <c r="AA6" s="21">
        <v>6.0934922308188604</v>
      </c>
      <c r="AB6" s="21">
        <v>4.732781793834131</v>
      </c>
      <c r="AC6" s="21">
        <v>5.6183893860763447</v>
      </c>
      <c r="AE6" s="21">
        <v>4.9146946369730555</v>
      </c>
    </row>
    <row r="7" spans="1:31" s="14" customFormat="1" x14ac:dyDescent="0.2">
      <c r="A7" s="4" t="s">
        <v>6</v>
      </c>
      <c r="B7" s="4" t="s">
        <v>12</v>
      </c>
      <c r="C7" s="4" t="s">
        <v>47</v>
      </c>
      <c r="D7" s="100">
        <v>24</v>
      </c>
      <c r="E7" s="7">
        <v>30240</v>
      </c>
      <c r="F7" s="12">
        <v>3704</v>
      </c>
      <c r="G7" s="13">
        <v>15</v>
      </c>
      <c r="H7" s="21">
        <v>2.8008689804786822</v>
      </c>
      <c r="I7" s="21">
        <v>3.238496571966023</v>
      </c>
      <c r="J7" s="21">
        <v>3.2182482632151599</v>
      </c>
      <c r="K7" s="21">
        <v>3.4815688206255633</v>
      </c>
      <c r="L7" s="21">
        <v>4.4453423260217253</v>
      </c>
      <c r="M7" s="21">
        <v>3.1982471718141539</v>
      </c>
      <c r="N7" s="21">
        <v>5.2799230756462094</v>
      </c>
      <c r="O7" s="21">
        <v>4.2114525555398874</v>
      </c>
      <c r="P7" s="21">
        <v>5.0598802473405753</v>
      </c>
      <c r="Q7" s="21">
        <v>3.2159118948272072</v>
      </c>
      <c r="R7" s="21">
        <v>4.6697476996828478</v>
      </c>
      <c r="S7" s="21">
        <v>3.5123219978257358</v>
      </c>
      <c r="T7" s="21">
        <v>4.0087684686254272</v>
      </c>
      <c r="U7" s="21">
        <v>4.0425078505002361</v>
      </c>
      <c r="V7" s="21">
        <v>3.8631958545591645</v>
      </c>
      <c r="W7" s="21">
        <v>4.0446065127634947</v>
      </c>
      <c r="X7" s="21">
        <v>4.2676537251024094</v>
      </c>
      <c r="Y7" s="21">
        <v>4.928845812557471</v>
      </c>
      <c r="Z7" s="21">
        <v>5.1858777553614157</v>
      </c>
      <c r="AA7" s="21">
        <v>5.3843793767459305</v>
      </c>
      <c r="AB7" s="21">
        <v>4.5233907543848062</v>
      </c>
      <c r="AC7" s="21">
        <v>5.5568681207608446</v>
      </c>
      <c r="AE7" s="21">
        <v>4.7698968424546564</v>
      </c>
    </row>
    <row r="8" spans="1:31" s="14" customFormat="1" x14ac:dyDescent="0.2">
      <c r="A8" s="4" t="s">
        <v>6</v>
      </c>
      <c r="B8" s="6" t="s">
        <v>13</v>
      </c>
      <c r="C8" s="4" t="s">
        <v>48</v>
      </c>
      <c r="D8" s="100">
        <v>40</v>
      </c>
      <c r="E8" s="7">
        <v>10400</v>
      </c>
      <c r="F8" s="12">
        <v>500</v>
      </c>
      <c r="G8" s="13">
        <v>3</v>
      </c>
      <c r="H8" s="21">
        <v>4.2060710861892572</v>
      </c>
      <c r="I8" s="21">
        <v>3.0338099117404607</v>
      </c>
      <c r="J8" s="21">
        <v>2.6842095579728094</v>
      </c>
      <c r="K8" s="21">
        <v>3.3326006297215631</v>
      </c>
      <c r="L8" s="21">
        <v>3.9421192303612491</v>
      </c>
      <c r="M8" s="21">
        <v>4.0122987224293851</v>
      </c>
      <c r="N8" s="21">
        <v>6.290159872410106</v>
      </c>
      <c r="O8" s="21">
        <v>4.2677431069106655</v>
      </c>
      <c r="P8" s="21">
        <v>4.8488465529987783</v>
      </c>
      <c r="Q8" s="21">
        <v>4.7239395153342931</v>
      </c>
      <c r="R8" s="21">
        <v>5.1703107310915488</v>
      </c>
      <c r="S8" s="21">
        <v>5.2041371150222462</v>
      </c>
      <c r="T8" s="21">
        <v>4.5071502096909368</v>
      </c>
      <c r="U8" s="21">
        <v>4.0309432073254508</v>
      </c>
      <c r="V8" s="21">
        <v>3.8013497336933888</v>
      </c>
      <c r="W8" s="21">
        <v>5.7663859553611747</v>
      </c>
      <c r="X8" s="21">
        <v>4.7562984419201175</v>
      </c>
      <c r="Y8" s="21">
        <v>4.4102390897151214</v>
      </c>
      <c r="Z8" s="21">
        <v>4.8260784180603906</v>
      </c>
      <c r="AA8" s="21">
        <v>6.0881603316625519</v>
      </c>
      <c r="AE8" s="21">
        <v>4.9598075279824272</v>
      </c>
    </row>
    <row r="9" spans="1:31" s="14" customFormat="1" x14ac:dyDescent="0.2">
      <c r="A9" s="4" t="s">
        <v>6</v>
      </c>
      <c r="B9" s="6" t="s">
        <v>13</v>
      </c>
      <c r="C9" s="4" t="s">
        <v>48</v>
      </c>
      <c r="D9" s="100">
        <v>40</v>
      </c>
      <c r="E9" s="7">
        <v>20400</v>
      </c>
      <c r="F9" s="12">
        <v>926</v>
      </c>
      <c r="G9" s="13">
        <v>6.5</v>
      </c>
      <c r="H9" s="21">
        <v>2.9387971126836083</v>
      </c>
      <c r="I9" s="21">
        <v>3.1151949908195404</v>
      </c>
      <c r="J9" s="21">
        <v>2.669871230539731</v>
      </c>
      <c r="K9" s="21">
        <v>3.2557797829920934</v>
      </c>
      <c r="L9" s="21">
        <v>4.6807931381269814</v>
      </c>
      <c r="M9" s="21">
        <v>4.0938452352532924</v>
      </c>
      <c r="N9" s="21">
        <v>6.0691501478889593</v>
      </c>
      <c r="O9" s="21">
        <v>4.8207330451266683</v>
      </c>
      <c r="P9" s="21">
        <v>5.1076528217142618</v>
      </c>
      <c r="Q9" s="21">
        <v>4.6031025211297925</v>
      </c>
      <c r="R9" s="21">
        <v>4.8975155352856632</v>
      </c>
      <c r="S9" s="21">
        <v>5.1161866539124921</v>
      </c>
      <c r="T9" s="21">
        <v>4.6243504332135608</v>
      </c>
      <c r="U9" s="21">
        <v>4.0147746490044547</v>
      </c>
      <c r="V9" s="21">
        <v>3.7331915721192921</v>
      </c>
      <c r="W9" s="21">
        <v>5.7181489902954139</v>
      </c>
      <c r="X9" s="21">
        <v>4.7309836118793944</v>
      </c>
      <c r="Y9" s="21">
        <v>4.6647569059330829</v>
      </c>
      <c r="Z9" s="21">
        <v>5.2016687058799782</v>
      </c>
      <c r="AA9" s="21">
        <v>5.865762181841828</v>
      </c>
      <c r="AE9" s="21">
        <v>4.9671986200158615</v>
      </c>
    </row>
    <row r="10" spans="1:31" s="14" customFormat="1" x14ac:dyDescent="0.2">
      <c r="A10" s="4" t="s">
        <v>6</v>
      </c>
      <c r="B10" s="6" t="s">
        <v>13</v>
      </c>
      <c r="C10" s="4" t="s">
        <v>48</v>
      </c>
      <c r="D10" s="100">
        <v>40</v>
      </c>
      <c r="E10" s="7">
        <v>30400</v>
      </c>
      <c r="F10" s="12">
        <v>3704</v>
      </c>
      <c r="G10" s="13">
        <v>13</v>
      </c>
      <c r="H10" s="21">
        <v>4.2251751673179401</v>
      </c>
      <c r="I10" s="21">
        <v>3.0798902123550782</v>
      </c>
      <c r="J10" s="21">
        <v>3.2329999125040234</v>
      </c>
      <c r="K10" s="21">
        <v>3.0651975227785115</v>
      </c>
      <c r="L10" s="21">
        <v>4.518838704166412</v>
      </c>
      <c r="M10" s="21">
        <v>3.9523210768305228</v>
      </c>
      <c r="N10" s="21">
        <v>5.6150870872042296</v>
      </c>
      <c r="O10" s="21">
        <v>4.7235218858100385</v>
      </c>
      <c r="P10" s="21">
        <v>4.7926026390439249</v>
      </c>
      <c r="Q10" s="21">
        <v>4.432039664181918</v>
      </c>
      <c r="R10" s="21">
        <v>4.8556666672974975</v>
      </c>
      <c r="S10" s="21">
        <v>5.2224563806922948</v>
      </c>
      <c r="T10" s="21">
        <v>4.8226993413624397</v>
      </c>
      <c r="U10" s="21">
        <v>4.0215367424400794</v>
      </c>
      <c r="V10" s="21">
        <v>3.141824929757588</v>
      </c>
      <c r="W10" s="21">
        <v>5.6949340931837051</v>
      </c>
      <c r="X10" s="21">
        <v>4.4607816594080454</v>
      </c>
      <c r="Y10" s="21">
        <v>4.5699911669112581</v>
      </c>
      <c r="Z10" s="21">
        <v>5.1568542741718311</v>
      </c>
      <c r="AA10" s="21">
        <v>5.93514366310976</v>
      </c>
      <c r="AE10" s="21">
        <v>4.3024855923341354</v>
      </c>
    </row>
    <row r="11" spans="1:31" s="14" customFormat="1" x14ac:dyDescent="0.2">
      <c r="A11" s="4" t="s">
        <v>6</v>
      </c>
      <c r="B11" s="14" t="s">
        <v>49</v>
      </c>
      <c r="C11" s="14" t="s">
        <v>52</v>
      </c>
      <c r="D11" s="100">
        <v>56</v>
      </c>
      <c r="E11" s="7">
        <v>10560</v>
      </c>
      <c r="F11" s="12">
        <v>500</v>
      </c>
      <c r="G11" s="13">
        <v>2.5</v>
      </c>
      <c r="H11" s="21">
        <v>4.0762767635816228</v>
      </c>
      <c r="I11" s="21">
        <v>3.8637971147596359</v>
      </c>
      <c r="J11" s="21">
        <v>3.3765166053098472</v>
      </c>
      <c r="K11" s="21">
        <v>3.5263427711275606</v>
      </c>
      <c r="L11" s="21">
        <v>4.5159433718246129</v>
      </c>
      <c r="M11" s="21">
        <v>3.6137244949419718</v>
      </c>
      <c r="N11" s="21">
        <v>5.1300199095781309</v>
      </c>
      <c r="O11" s="21">
        <v>4.6361040435432983</v>
      </c>
      <c r="P11" s="21">
        <v>4.6205801403244129</v>
      </c>
      <c r="Q11" s="21">
        <v>4.7378137093377166</v>
      </c>
      <c r="R11" s="21">
        <v>5.0033193729038796</v>
      </c>
      <c r="S11" s="21">
        <v>4.7597819154746528</v>
      </c>
      <c r="T11" s="21">
        <v>3.9344736066759474</v>
      </c>
      <c r="U11" s="21">
        <v>3.2910380447737704</v>
      </c>
      <c r="V11" s="21">
        <v>3.7082939267170953</v>
      </c>
      <c r="W11" s="21">
        <v>4.5598204265466169</v>
      </c>
      <c r="X11" s="21">
        <v>4.5291198119966136</v>
      </c>
      <c r="Y11" s="21">
        <v>4.9427625199435079</v>
      </c>
      <c r="Z11" s="21">
        <v>5.167583473143031</v>
      </c>
      <c r="AA11" s="21">
        <v>5.1538960235036892</v>
      </c>
      <c r="AC11" s="21">
        <v>5.2062185861473456</v>
      </c>
      <c r="AE11" s="21">
        <v>4.3142649737646073</v>
      </c>
    </row>
    <row r="12" spans="1:31" s="14" customFormat="1" x14ac:dyDescent="0.2">
      <c r="A12" s="4" t="s">
        <v>6</v>
      </c>
      <c r="B12" s="14" t="s">
        <v>49</v>
      </c>
      <c r="C12" s="14" t="s">
        <v>52</v>
      </c>
      <c r="D12" s="100">
        <v>56</v>
      </c>
      <c r="E12" s="12">
        <v>20560</v>
      </c>
      <c r="F12" s="12">
        <v>926</v>
      </c>
      <c r="G12" s="13">
        <v>5</v>
      </c>
      <c r="H12" s="21">
        <v>4.0666571860158021</v>
      </c>
      <c r="I12" s="21">
        <v>3.7497061262839755</v>
      </c>
      <c r="J12" s="21">
        <v>3.1456118529658625</v>
      </c>
      <c r="K12" s="21">
        <v>3.5191792132748643</v>
      </c>
      <c r="L12" s="21">
        <v>4.7232435894166853</v>
      </c>
      <c r="M12" s="21">
        <v>4.2243039109781222</v>
      </c>
      <c r="N12" s="21">
        <v>5.0682280726277957</v>
      </c>
      <c r="O12" s="21">
        <v>4.911181279505791</v>
      </c>
      <c r="P12" s="21">
        <v>4.6679739614044617</v>
      </c>
      <c r="Q12" s="21">
        <v>4.5473776373427057</v>
      </c>
      <c r="R12" s="21">
        <v>4.7474398978986185</v>
      </c>
      <c r="S12" s="21">
        <v>4.9205633911480193</v>
      </c>
      <c r="T12" s="21">
        <v>3.8231397606956952</v>
      </c>
      <c r="U12" s="21">
        <v>3.1896476852888185</v>
      </c>
      <c r="V12" s="21">
        <v>3.3334309683094285</v>
      </c>
      <c r="W12" s="21">
        <v>4.5582489140012035</v>
      </c>
      <c r="X12" s="21">
        <v>4.5088606487296623</v>
      </c>
      <c r="Y12" s="21">
        <v>5.1827421174637234</v>
      </c>
      <c r="Z12" s="21">
        <v>5.1873778564205715</v>
      </c>
      <c r="AA12" s="21">
        <v>5.3801909079255621</v>
      </c>
      <c r="AC12" s="21">
        <v>5.2488739507479449</v>
      </c>
      <c r="AE12" s="21">
        <v>4.6548016681391982</v>
      </c>
    </row>
    <row r="13" spans="1:31" s="14" customFormat="1" x14ac:dyDescent="0.2">
      <c r="A13" s="4" t="s">
        <v>6</v>
      </c>
      <c r="B13" s="14" t="s">
        <v>49</v>
      </c>
      <c r="C13" s="14" t="s">
        <v>52</v>
      </c>
      <c r="D13" s="100">
        <v>56</v>
      </c>
      <c r="E13" s="12">
        <v>30560</v>
      </c>
      <c r="F13" s="12">
        <v>3704</v>
      </c>
      <c r="G13" s="13">
        <v>16</v>
      </c>
      <c r="H13" s="21">
        <v>4.0132186740144427</v>
      </c>
      <c r="I13" s="21">
        <v>3.5823534874558827</v>
      </c>
      <c r="J13" s="21">
        <v>3.5061993748243911</v>
      </c>
      <c r="K13" s="21">
        <v>3.4137137880305408</v>
      </c>
      <c r="L13" s="21">
        <v>4.3044123347794905</v>
      </c>
      <c r="M13" s="21">
        <v>3.4358293672445881</v>
      </c>
      <c r="N13" s="21">
        <v>3.9829442553673355</v>
      </c>
      <c r="O13" s="21">
        <v>4.918839060020793</v>
      </c>
      <c r="P13" s="21">
        <v>4.5015605227354589</v>
      </c>
      <c r="Q13" s="21">
        <v>4.1239288432616785</v>
      </c>
      <c r="R13" s="21">
        <v>5.7854759824188724</v>
      </c>
      <c r="S13" s="21">
        <v>4.6837437827998443</v>
      </c>
      <c r="T13" s="21">
        <v>3.7680382805963251</v>
      </c>
      <c r="U13" s="21">
        <v>3.8056183675105113</v>
      </c>
      <c r="V13" s="21">
        <v>3.0165882668830912</v>
      </c>
      <c r="W13" s="21">
        <v>4.652080831873179</v>
      </c>
      <c r="X13" s="21">
        <v>4.7405057662057732</v>
      </c>
      <c r="Y13" s="21">
        <v>5.7006431113742586</v>
      </c>
      <c r="Z13" s="21">
        <v>5.7231301905082796</v>
      </c>
      <c r="AA13" s="21">
        <v>5.2524451968104797</v>
      </c>
      <c r="AC13" s="21">
        <v>5.5779129939366374</v>
      </c>
      <c r="AE13" s="21">
        <v>4.6822935683117715</v>
      </c>
    </row>
    <row r="14" spans="1:31" s="14" customFormat="1" x14ac:dyDescent="0.2">
      <c r="A14" s="4" t="s">
        <v>19</v>
      </c>
      <c r="B14" s="14" t="s">
        <v>20</v>
      </c>
      <c r="C14" s="14" t="s">
        <v>54</v>
      </c>
      <c r="D14" s="100">
        <v>72</v>
      </c>
      <c r="E14" s="12">
        <v>10720</v>
      </c>
      <c r="F14" s="12">
        <v>500</v>
      </c>
      <c r="G14" s="13">
        <v>2</v>
      </c>
      <c r="H14" s="21">
        <v>4.0861608524292699</v>
      </c>
      <c r="I14" s="21">
        <v>3.7278389638735594</v>
      </c>
      <c r="J14" s="21">
        <v>4.9138061615953825</v>
      </c>
      <c r="K14" s="21">
        <v>3.8831188304479802</v>
      </c>
      <c r="L14" s="21">
        <v>5.0419459221627889</v>
      </c>
      <c r="M14" s="21">
        <v>5.1230469010631747</v>
      </c>
      <c r="N14" s="21">
        <v>4.4175272784262853</v>
      </c>
      <c r="O14" s="21">
        <v>4.403965383600581</v>
      </c>
      <c r="P14" s="21">
        <v>5.7764799342151374</v>
      </c>
      <c r="Q14" s="21">
        <v>5.6303890137691592</v>
      </c>
      <c r="R14" s="21">
        <v>5.2814063433914038</v>
      </c>
      <c r="S14" s="21">
        <v>5.7239868356673878</v>
      </c>
      <c r="T14" s="21">
        <v>4.5648305772737263</v>
      </c>
      <c r="U14" s="21">
        <v>5.7526487882570763</v>
      </c>
      <c r="V14" s="21">
        <v>4.5286846301112282</v>
      </c>
      <c r="W14" s="21">
        <v>6.4059597179273835</v>
      </c>
      <c r="X14" s="21">
        <v>4.9499644074902189</v>
      </c>
      <c r="Y14" s="21">
        <v>4.7459109694168466</v>
      </c>
      <c r="Z14" s="21">
        <v>6.1533032790387265</v>
      </c>
      <c r="AA14" s="21">
        <v>5.3300329250686289</v>
      </c>
      <c r="AC14" s="21">
        <v>5.9864237859540612</v>
      </c>
      <c r="AE14" s="21">
        <v>4.6019091737288278</v>
      </c>
    </row>
    <row r="15" spans="1:31" s="14" customFormat="1" x14ac:dyDescent="0.2">
      <c r="A15" s="4" t="s">
        <v>19</v>
      </c>
      <c r="B15" s="14" t="s">
        <v>20</v>
      </c>
      <c r="C15" s="14" t="s">
        <v>54</v>
      </c>
      <c r="D15" s="100">
        <v>72</v>
      </c>
      <c r="E15" s="12">
        <v>20720</v>
      </c>
      <c r="F15" s="12">
        <v>926</v>
      </c>
      <c r="G15" s="13">
        <v>3.5</v>
      </c>
      <c r="H15" s="21">
        <v>4.1045500049009904</v>
      </c>
      <c r="I15" s="21">
        <v>4.8262183325215098</v>
      </c>
      <c r="J15" s="21">
        <v>5.1169285798734769</v>
      </c>
      <c r="K15" s="21">
        <v>4.3660625072483041</v>
      </c>
      <c r="L15" s="21">
        <v>4.8691376157807067</v>
      </c>
      <c r="M15" s="21">
        <v>5.3678930828176927</v>
      </c>
      <c r="N15" s="21">
        <v>4.500481888098113</v>
      </c>
      <c r="O15" s="21">
        <v>4.8726061066484725</v>
      </c>
      <c r="P15" s="21">
        <v>4.9547552232120502</v>
      </c>
      <c r="Q15" s="21">
        <v>5.1547900672102491</v>
      </c>
      <c r="R15" s="21">
        <v>4.9236031807802023</v>
      </c>
      <c r="S15" s="21">
        <v>6.0323366050362521</v>
      </c>
      <c r="T15" s="21">
        <v>4.4224235842562223</v>
      </c>
      <c r="U15" s="21">
        <v>5.3400137081594421</v>
      </c>
      <c r="V15" s="21">
        <v>3.5259089160468888</v>
      </c>
      <c r="W15" s="21">
        <v>6.3745841595210226</v>
      </c>
      <c r="X15" s="21">
        <v>5.1937890686933965</v>
      </c>
      <c r="Y15" s="21">
        <v>5.2141593742566954</v>
      </c>
      <c r="Z15" s="21">
        <v>6.0610215323733332</v>
      </c>
      <c r="AA15" s="21">
        <v>5.4137346635165962</v>
      </c>
      <c r="AC15" s="21">
        <v>6.0677918896180589</v>
      </c>
      <c r="AE15" s="21">
        <v>3.231872544016932</v>
      </c>
    </row>
    <row r="16" spans="1:31" x14ac:dyDescent="0.2">
      <c r="A16" s="4" t="s">
        <v>19</v>
      </c>
      <c r="B16" s="14" t="s">
        <v>20</v>
      </c>
      <c r="C16" s="14" t="s">
        <v>54</v>
      </c>
      <c r="D16" s="100">
        <v>72</v>
      </c>
      <c r="E16" s="12">
        <v>30720</v>
      </c>
      <c r="F16" s="12">
        <v>3704</v>
      </c>
      <c r="G16" s="13">
        <v>13.5</v>
      </c>
      <c r="H16" s="21">
        <v>4.3367714177209162</v>
      </c>
      <c r="I16" s="21">
        <v>4.7883393378988801</v>
      </c>
      <c r="J16" s="21">
        <v>4.6147488630103579</v>
      </c>
      <c r="K16" s="21">
        <v>4.1605814006294013</v>
      </c>
      <c r="L16" s="21">
        <v>3.799652457480069</v>
      </c>
      <c r="M16" s="21">
        <v>5.3256245704173084</v>
      </c>
      <c r="N16" s="21">
        <v>4.5642270110530836</v>
      </c>
      <c r="O16" s="21">
        <v>4.5227961673953105</v>
      </c>
      <c r="P16" s="21">
        <v>6.0602096872663234</v>
      </c>
      <c r="Q16" s="21">
        <v>4.9337451814779723</v>
      </c>
      <c r="R16" s="21">
        <v>4.9558873998700053</v>
      </c>
      <c r="S16" s="21">
        <v>5.6008168515786068</v>
      </c>
      <c r="T16" s="21">
        <v>4.0623128544590745</v>
      </c>
      <c r="U16" s="21">
        <v>5.3757639501359424</v>
      </c>
      <c r="V16" s="21">
        <v>4.0918846971785285</v>
      </c>
      <c r="W16" s="21">
        <v>5.7649030255143829</v>
      </c>
      <c r="X16" s="21">
        <v>4.7950951240368536</v>
      </c>
      <c r="Y16" s="21">
        <v>5.092149870045132</v>
      </c>
      <c r="Z16" s="21">
        <v>5.6388062557704011</v>
      </c>
      <c r="AA16" s="21">
        <v>5.3442430288991742</v>
      </c>
      <c r="AC16" s="21">
        <v>5.9151457226473072</v>
      </c>
      <c r="AE16" s="21">
        <v>4.2717907586240162</v>
      </c>
    </row>
    <row r="22" spans="2:4" x14ac:dyDescent="0.2">
      <c r="B22" s="14"/>
      <c r="C22" s="14"/>
      <c r="D22" s="14"/>
    </row>
    <row r="23" spans="2:4" x14ac:dyDescent="0.2">
      <c r="B23" s="5"/>
    </row>
    <row r="24" spans="2:4" x14ac:dyDescent="0.2">
      <c r="B24" s="5"/>
    </row>
    <row r="25" spans="2:4" x14ac:dyDescent="0.2">
      <c r="B25" s="5"/>
    </row>
    <row r="26" spans="2:4" x14ac:dyDescent="0.2">
      <c r="B26" s="5"/>
    </row>
    <row r="27" spans="2:4" x14ac:dyDescent="0.2">
      <c r="B27" s="5"/>
    </row>
    <row r="28" spans="2:4" x14ac:dyDescent="0.2">
      <c r="B28" s="5"/>
    </row>
  </sheetData>
  <phoneticPr fontId="4"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9"/>
  <sheetViews>
    <sheetView topLeftCell="N1" workbookViewId="0">
      <selection activeCell="AD40" sqref="AD40"/>
    </sheetView>
  </sheetViews>
  <sheetFormatPr defaultRowHeight="12.75" x14ac:dyDescent="0.2"/>
  <cols>
    <col min="1" max="1" width="5.7109375" style="12" customWidth="1"/>
    <col min="2" max="2" width="22.85546875" style="15" bestFit="1" customWidth="1"/>
    <col min="3" max="3" width="38" style="15" bestFit="1" customWidth="1"/>
    <col min="4" max="4" width="10.42578125" style="15" customWidth="1"/>
    <col min="5" max="5" width="16.28515625" style="12" customWidth="1"/>
    <col min="6" max="6" width="14.140625" style="15" customWidth="1"/>
    <col min="7" max="7" width="11.28515625" style="15" bestFit="1" customWidth="1"/>
    <col min="8" max="8" width="9.140625" style="15"/>
    <col min="9" max="9" width="11.28515625" style="15" customWidth="1"/>
    <col min="10" max="10" width="8.85546875" style="15" customWidth="1"/>
    <col min="11" max="18" width="9.140625" style="15"/>
    <col min="19" max="20" width="12.28515625" style="15" customWidth="1"/>
    <col min="21" max="21" width="9.140625" style="15"/>
    <col min="22" max="22" width="10.140625" style="15" customWidth="1"/>
    <col min="23" max="23" width="10.28515625" style="15" customWidth="1"/>
    <col min="24" max="16384" width="9.140625" style="15"/>
  </cols>
  <sheetData>
    <row r="1" spans="1:23" s="10" customFormat="1" ht="25.5" x14ac:dyDescent="0.2">
      <c r="A1" s="1" t="s">
        <v>0</v>
      </c>
      <c r="B1" s="2" t="s">
        <v>1</v>
      </c>
      <c r="C1" s="1" t="s">
        <v>2</v>
      </c>
      <c r="D1" s="3" t="s">
        <v>89</v>
      </c>
      <c r="E1" s="3" t="s">
        <v>3</v>
      </c>
      <c r="F1" s="1" t="s">
        <v>4</v>
      </c>
      <c r="G1" s="1" t="s">
        <v>5</v>
      </c>
      <c r="H1" s="3" t="s">
        <v>28</v>
      </c>
      <c r="I1" s="3" t="s">
        <v>29</v>
      </c>
      <c r="J1" s="3" t="s">
        <v>30</v>
      </c>
      <c r="K1" s="3" t="s">
        <v>31</v>
      </c>
      <c r="L1" s="3" t="s">
        <v>45</v>
      </c>
      <c r="M1" s="3" t="s">
        <v>35</v>
      </c>
      <c r="N1" s="3" t="s">
        <v>36</v>
      </c>
      <c r="O1" s="3" t="s">
        <v>34</v>
      </c>
      <c r="P1" s="3" t="s">
        <v>37</v>
      </c>
      <c r="Q1" s="3" t="s">
        <v>38</v>
      </c>
      <c r="R1" s="3" t="s">
        <v>39</v>
      </c>
      <c r="S1" s="3" t="s">
        <v>40</v>
      </c>
      <c r="T1" s="3" t="s">
        <v>41</v>
      </c>
      <c r="U1" s="3" t="s">
        <v>42</v>
      </c>
      <c r="V1" s="3" t="s">
        <v>43</v>
      </c>
      <c r="W1" s="3" t="s">
        <v>44</v>
      </c>
    </row>
    <row r="2" spans="1:23" s="14" customFormat="1" x14ac:dyDescent="0.2">
      <c r="A2" s="4" t="s">
        <v>6</v>
      </c>
      <c r="B2" s="4" t="s">
        <v>9</v>
      </c>
      <c r="C2" s="4" t="s">
        <v>46</v>
      </c>
      <c r="D2" s="100">
        <v>8</v>
      </c>
      <c r="E2" s="7">
        <v>10080</v>
      </c>
      <c r="F2" s="12">
        <v>500</v>
      </c>
      <c r="G2" s="13">
        <v>2</v>
      </c>
      <c r="H2" s="22">
        <v>4.7554100361940748</v>
      </c>
      <c r="I2" s="22">
        <v>4.2181429747330847</v>
      </c>
      <c r="J2" s="22">
        <v>3.8921882504272207</v>
      </c>
      <c r="K2" s="22">
        <v>4.9814682077812193</v>
      </c>
      <c r="L2" s="22">
        <v>4.7554100361940748</v>
      </c>
      <c r="M2" s="22">
        <v>5.5466101764411473</v>
      </c>
      <c r="N2" s="22">
        <v>4.6845555605093105</v>
      </c>
      <c r="O2" s="22">
        <v>4.4377635016984636</v>
      </c>
      <c r="P2" s="22">
        <v>3.8535539249585868</v>
      </c>
      <c r="Q2" s="22">
        <v>3.7110084765370521</v>
      </c>
      <c r="S2" s="22">
        <v>4.0764590118372581</v>
      </c>
      <c r="V2" s="22">
        <v>5.1983513532681087</v>
      </c>
      <c r="W2" s="22">
        <v>4.5447682336476793</v>
      </c>
    </row>
    <row r="3" spans="1:23" s="14" customFormat="1" x14ac:dyDescent="0.2">
      <c r="A3" s="4" t="s">
        <v>6</v>
      </c>
      <c r="B3" s="4" t="s">
        <v>9</v>
      </c>
      <c r="C3" s="4" t="s">
        <v>46</v>
      </c>
      <c r="D3" s="100">
        <v>8</v>
      </c>
      <c r="E3" s="7">
        <v>20080</v>
      </c>
      <c r="F3" s="12">
        <v>926</v>
      </c>
      <c r="G3" s="13">
        <v>4.5</v>
      </c>
      <c r="H3" s="22">
        <v>5.0713918752501259</v>
      </c>
      <c r="I3" s="22">
        <v>3.5492911693059845</v>
      </c>
      <c r="J3" s="22">
        <v>3.8833039571407664</v>
      </c>
      <c r="K3" s="22">
        <v>4.8248199303003387</v>
      </c>
      <c r="L3" s="22">
        <v>5.0713918752501259</v>
      </c>
      <c r="M3" s="22">
        <v>4.4188993985006304</v>
      </c>
      <c r="N3" s="22">
        <v>4.6193490225881266</v>
      </c>
      <c r="O3" s="22">
        <v>4.3627963555545879</v>
      </c>
      <c r="P3" s="22">
        <v>2.7306157892367628</v>
      </c>
      <c r="Q3" s="22">
        <v>3.4997184168008411</v>
      </c>
      <c r="S3" s="22">
        <v>4.0479088805612689</v>
      </c>
      <c r="V3" s="22">
        <v>4.7845133693120534</v>
      </c>
      <c r="W3" s="22">
        <v>4.5864653869356777</v>
      </c>
    </row>
    <row r="4" spans="1:23" s="14" customFormat="1" x14ac:dyDescent="0.2">
      <c r="A4" s="4" t="s">
        <v>6</v>
      </c>
      <c r="B4" s="4" t="s">
        <v>9</v>
      </c>
      <c r="C4" s="4" t="s">
        <v>46</v>
      </c>
      <c r="D4" s="100">
        <v>8</v>
      </c>
      <c r="E4" s="7">
        <v>30080</v>
      </c>
      <c r="F4" s="12">
        <v>3704</v>
      </c>
      <c r="G4" s="13">
        <v>13</v>
      </c>
      <c r="H4" s="22">
        <v>4.2640975690623506</v>
      </c>
      <c r="I4" s="22">
        <v>3.0735092457168292</v>
      </c>
      <c r="J4" s="22">
        <v>3.8362834646769759</v>
      </c>
      <c r="K4" s="22">
        <v>4.7375638348291034</v>
      </c>
      <c r="L4" s="22">
        <v>4.2640975690623506</v>
      </c>
      <c r="M4" s="22">
        <v>3.8825310795756991</v>
      </c>
      <c r="N4" s="22">
        <v>3.608246455724804</v>
      </c>
      <c r="O4" s="22">
        <v>3.4593735273200141</v>
      </c>
      <c r="P4" s="22">
        <v>1.2204520550659526</v>
      </c>
      <c r="Q4" s="22">
        <v>3.8151820649801982</v>
      </c>
      <c r="S4" s="22">
        <v>3.8608484012372797</v>
      </c>
      <c r="V4" s="22">
        <v>4.1015569759695776</v>
      </c>
      <c r="W4" s="22">
        <v>4.3474480585899968</v>
      </c>
    </row>
    <row r="5" spans="1:23" s="14" customFormat="1" x14ac:dyDescent="0.2">
      <c r="A5" s="4" t="s">
        <v>6</v>
      </c>
      <c r="B5" s="4" t="s">
        <v>12</v>
      </c>
      <c r="C5" s="4" t="s">
        <v>47</v>
      </c>
      <c r="D5" s="100">
        <v>24</v>
      </c>
      <c r="E5" s="7">
        <v>10240</v>
      </c>
      <c r="F5" s="12">
        <v>500</v>
      </c>
      <c r="G5" s="13">
        <v>2.5</v>
      </c>
      <c r="H5" s="22">
        <v>5.1043339539172701</v>
      </c>
      <c r="I5" s="22">
        <v>4.1600562138406652</v>
      </c>
      <c r="J5" s="22">
        <v>4.6659905025340889</v>
      </c>
      <c r="K5" s="22">
        <v>4.7564876065265498</v>
      </c>
      <c r="L5" s="22">
        <v>5.1043339539172701</v>
      </c>
      <c r="M5" s="22">
        <v>5.4370851955077901</v>
      </c>
      <c r="N5" s="22">
        <v>5.1365461746035663</v>
      </c>
      <c r="O5" s="22">
        <v>3.967672253616906</v>
      </c>
      <c r="P5" s="22">
        <v>3.6940023423816202</v>
      </c>
      <c r="Q5" s="22">
        <v>5.1449179018514108</v>
      </c>
      <c r="R5" s="22">
        <v>3.2909984489133817</v>
      </c>
      <c r="S5" s="22">
        <v>4.8951330863649591</v>
      </c>
      <c r="V5" s="22">
        <v>4.875444644895949</v>
      </c>
      <c r="W5" s="22">
        <v>4.5538001006462325</v>
      </c>
    </row>
    <row r="6" spans="1:23" s="14" customFormat="1" x14ac:dyDescent="0.2">
      <c r="A6" s="4" t="s">
        <v>6</v>
      </c>
      <c r="B6" s="4" t="s">
        <v>12</v>
      </c>
      <c r="C6" s="4" t="s">
        <v>47</v>
      </c>
      <c r="D6" s="100">
        <v>24</v>
      </c>
      <c r="E6" s="7">
        <v>20240</v>
      </c>
      <c r="F6" s="12">
        <v>926</v>
      </c>
      <c r="G6" s="13">
        <v>6.5</v>
      </c>
      <c r="H6" s="22">
        <v>5.6688086865743728</v>
      </c>
      <c r="I6" s="22">
        <v>3.8793265737646574</v>
      </c>
      <c r="J6" s="22">
        <v>4.9390877969508384</v>
      </c>
      <c r="K6" s="22">
        <v>5.3747844580829742</v>
      </c>
      <c r="L6" s="22">
        <v>5.6688086865743728</v>
      </c>
      <c r="M6" s="22">
        <v>5.6557855659653979</v>
      </c>
      <c r="N6" s="22">
        <v>4.7947352574391502</v>
      </c>
      <c r="O6" s="22">
        <v>4.0472849439800598</v>
      </c>
      <c r="P6" s="22">
        <v>3.5715631476853638</v>
      </c>
      <c r="Q6" s="22">
        <v>4.4652809983456905</v>
      </c>
      <c r="R6" s="22">
        <v>3.8201686923330875</v>
      </c>
      <c r="S6" s="22">
        <v>4.6101977685985318</v>
      </c>
      <c r="V6" s="22">
        <v>5.3535150673895515</v>
      </c>
      <c r="W6" s="22">
        <v>4.6626764251962651</v>
      </c>
    </row>
    <row r="7" spans="1:23" s="14" customFormat="1" x14ac:dyDescent="0.2">
      <c r="A7" s="4" t="s">
        <v>6</v>
      </c>
      <c r="B7" s="4" t="s">
        <v>12</v>
      </c>
      <c r="C7" s="4" t="s">
        <v>47</v>
      </c>
      <c r="D7" s="100">
        <v>24</v>
      </c>
      <c r="E7" s="7">
        <v>30240</v>
      </c>
      <c r="F7" s="12">
        <v>3704</v>
      </c>
      <c r="G7" s="13">
        <v>15</v>
      </c>
      <c r="H7" s="22">
        <v>5.4735691865488469</v>
      </c>
      <c r="I7" s="22">
        <v>3.6941616645988216</v>
      </c>
      <c r="J7" s="22">
        <v>4.1739386967268732</v>
      </c>
      <c r="K7" s="22">
        <v>4.9248374008878795</v>
      </c>
      <c r="L7" s="22">
        <v>5.4735691865488469</v>
      </c>
      <c r="M7" s="22">
        <v>4.5305881791574043</v>
      </c>
      <c r="N7" s="22">
        <v>3.9104100603758241</v>
      </c>
      <c r="O7" s="22">
        <v>2.9921981499061481</v>
      </c>
      <c r="P7" s="22">
        <v>1.7221687145059155</v>
      </c>
      <c r="Q7" s="22">
        <v>4.1715161661428164</v>
      </c>
      <c r="R7" s="22">
        <v>1.999200764435584</v>
      </c>
      <c r="S7" s="22">
        <v>3.7845854926529783</v>
      </c>
      <c r="V7" s="22">
        <v>4.4235897070063093</v>
      </c>
      <c r="W7" s="22">
        <v>4.8913210604532074</v>
      </c>
    </row>
    <row r="8" spans="1:23" s="14" customFormat="1" x14ac:dyDescent="0.2">
      <c r="A8" s="4" t="s">
        <v>6</v>
      </c>
      <c r="B8" s="6" t="s">
        <v>13</v>
      </c>
      <c r="C8" s="4" t="s">
        <v>48</v>
      </c>
      <c r="D8" s="100">
        <v>40</v>
      </c>
      <c r="E8" s="7">
        <v>10400</v>
      </c>
      <c r="F8" s="12">
        <v>500</v>
      </c>
      <c r="G8" s="13">
        <v>3</v>
      </c>
      <c r="H8" s="22">
        <v>5.1292788826027476</v>
      </c>
      <c r="I8" s="22">
        <v>4.5759047172141472</v>
      </c>
      <c r="J8" s="22">
        <v>5.8082490967477991</v>
      </c>
      <c r="K8" s="22">
        <v>4.5735347622158153</v>
      </c>
      <c r="L8" s="22">
        <v>5.1292788826027476</v>
      </c>
      <c r="M8" s="22">
        <v>5.2128544496104805</v>
      </c>
      <c r="N8" s="22">
        <v>4.5422475304902665</v>
      </c>
      <c r="O8" s="22">
        <v>3.456074215376701</v>
      </c>
      <c r="P8" s="22">
        <v>4.624251482544933</v>
      </c>
      <c r="Q8" s="22">
        <v>4.1517402866867332</v>
      </c>
      <c r="R8" s="22">
        <v>2.9085103058121051</v>
      </c>
      <c r="S8" s="22">
        <v>4.2741832541545675</v>
      </c>
      <c r="V8" s="22">
        <v>5.0590387122289995</v>
      </c>
      <c r="W8" s="22">
        <v>4.4998317178172753</v>
      </c>
    </row>
    <row r="9" spans="1:23" s="14" customFormat="1" x14ac:dyDescent="0.2">
      <c r="A9" s="4" t="s">
        <v>6</v>
      </c>
      <c r="B9" s="6" t="s">
        <v>13</v>
      </c>
      <c r="C9" s="4" t="s">
        <v>48</v>
      </c>
      <c r="D9" s="100">
        <v>40</v>
      </c>
      <c r="E9" s="7">
        <v>20400</v>
      </c>
      <c r="F9" s="12">
        <v>926</v>
      </c>
      <c r="G9" s="13">
        <v>6.5</v>
      </c>
      <c r="H9" s="22">
        <v>3.6374086575595461</v>
      </c>
      <c r="I9" s="22">
        <v>4.5614074434399088</v>
      </c>
      <c r="J9" s="22">
        <v>4.9538063315688197</v>
      </c>
      <c r="K9" s="22">
        <v>4.7371851864518764</v>
      </c>
      <c r="L9" s="22">
        <v>3.6374086575595461</v>
      </c>
      <c r="M9" s="22">
        <v>4.8789706505621107</v>
      </c>
      <c r="N9" s="22">
        <v>4.8048582641292317</v>
      </c>
      <c r="O9" s="22">
        <v>3.3815237775829949</v>
      </c>
      <c r="P9" s="22">
        <v>4.6105436996042162</v>
      </c>
      <c r="Q9" s="22">
        <v>3.4102124546486956</v>
      </c>
      <c r="R9" s="22">
        <v>2.5844704697219263</v>
      </c>
      <c r="S9" s="22">
        <v>4.3894433391045728</v>
      </c>
      <c r="V9" s="22">
        <v>5.4146123929642833</v>
      </c>
      <c r="W9" s="22">
        <v>4.7322783695829065</v>
      </c>
    </row>
    <row r="10" spans="1:23" s="14" customFormat="1" x14ac:dyDescent="0.2">
      <c r="A10" s="4" t="s">
        <v>6</v>
      </c>
      <c r="B10" s="6" t="s">
        <v>13</v>
      </c>
      <c r="C10" s="4" t="s">
        <v>48</v>
      </c>
      <c r="D10" s="100">
        <v>40</v>
      </c>
      <c r="E10" s="7">
        <v>30400</v>
      </c>
      <c r="F10" s="12">
        <v>3704</v>
      </c>
      <c r="G10" s="13">
        <v>13</v>
      </c>
      <c r="H10" s="22">
        <v>4.9912028328068834</v>
      </c>
      <c r="I10" s="22">
        <v>4.6126762795486753</v>
      </c>
      <c r="J10" s="22">
        <v>4.7767507689601976</v>
      </c>
      <c r="K10" s="22">
        <v>4.9261261420759208</v>
      </c>
      <c r="L10" s="22">
        <v>4.9912028328068834</v>
      </c>
      <c r="M10" s="22">
        <v>4.3511408409398369</v>
      </c>
      <c r="N10" s="22">
        <v>3.9743280754223762</v>
      </c>
      <c r="O10" s="22">
        <v>2.3203815049195562</v>
      </c>
      <c r="P10" s="22">
        <v>2.1329316494249944</v>
      </c>
      <c r="Q10" s="22">
        <v>3.9777602005261299</v>
      </c>
      <c r="R10" s="22">
        <v>1.9070426725195431</v>
      </c>
      <c r="S10" s="22">
        <v>4.167674080651051</v>
      </c>
      <c r="V10" s="22">
        <v>4.8934966053416202</v>
      </c>
      <c r="W10" s="22">
        <v>4.70488765581021</v>
      </c>
    </row>
    <row r="11" spans="1:23" s="14" customFormat="1" x14ac:dyDescent="0.2">
      <c r="A11" s="4" t="s">
        <v>6</v>
      </c>
      <c r="B11" s="14" t="s">
        <v>49</v>
      </c>
      <c r="C11" s="14" t="s">
        <v>52</v>
      </c>
      <c r="D11" s="100">
        <v>56</v>
      </c>
      <c r="E11" s="7">
        <v>10560</v>
      </c>
      <c r="F11" s="12">
        <v>500</v>
      </c>
      <c r="G11" s="13">
        <v>2.5</v>
      </c>
      <c r="H11" s="22">
        <v>5.0290646447893419</v>
      </c>
      <c r="I11" s="22">
        <v>4.5520775131120601</v>
      </c>
      <c r="J11" s="22">
        <v>4.3578252487523672</v>
      </c>
      <c r="K11" s="22">
        <v>3.7159536416213563</v>
      </c>
      <c r="L11" s="22">
        <v>5.0290646447893419</v>
      </c>
      <c r="M11" s="22">
        <v>5.0360474231095056</v>
      </c>
      <c r="N11" s="22">
        <v>4.0471618655676318</v>
      </c>
      <c r="O11" s="22">
        <v>3.8625541172521034</v>
      </c>
      <c r="P11" s="22">
        <v>3.2961195150749929</v>
      </c>
      <c r="Q11" s="22">
        <v>2.292374337435374</v>
      </c>
      <c r="R11" s="22">
        <v>1.843942077571094</v>
      </c>
      <c r="S11" s="22">
        <v>3.9002969595889323</v>
      </c>
      <c r="V11" s="22">
        <v>4.1727066042037615</v>
      </c>
      <c r="W11" s="22">
        <v>4.2210808153414145</v>
      </c>
    </row>
    <row r="12" spans="1:23" s="14" customFormat="1" x14ac:dyDescent="0.2">
      <c r="A12" s="4" t="s">
        <v>6</v>
      </c>
      <c r="B12" s="14" t="s">
        <v>49</v>
      </c>
      <c r="C12" s="14" t="s">
        <v>52</v>
      </c>
      <c r="D12" s="100">
        <v>56</v>
      </c>
      <c r="E12" s="12">
        <v>20560</v>
      </c>
      <c r="F12" s="12">
        <v>926</v>
      </c>
      <c r="G12" s="13">
        <v>5</v>
      </c>
      <c r="H12" s="22">
        <v>4.6460112375064329</v>
      </c>
      <c r="I12" s="22">
        <v>3.7452977334615811</v>
      </c>
      <c r="J12" s="22">
        <v>4.5931691039179263</v>
      </c>
      <c r="K12" s="22">
        <v>4.9912365770761102</v>
      </c>
      <c r="L12" s="22">
        <v>4.6460112375064329</v>
      </c>
      <c r="M12" s="22">
        <v>4.8697045708173929</v>
      </c>
      <c r="N12" s="22">
        <v>4.3173695443606244</v>
      </c>
      <c r="O12" s="22">
        <v>3.5551456769269194</v>
      </c>
      <c r="P12" s="22">
        <v>3.1633081354999</v>
      </c>
      <c r="Q12" s="22">
        <v>3.9766769626723297</v>
      </c>
      <c r="R12" s="22">
        <v>3.4975957592892737</v>
      </c>
      <c r="S12" s="22">
        <v>4.0735284517895156</v>
      </c>
      <c r="V12" s="22">
        <v>4.252802843250314</v>
      </c>
      <c r="W12" s="22">
        <v>4.0013385271543696</v>
      </c>
    </row>
    <row r="13" spans="1:23" s="14" customFormat="1" x14ac:dyDescent="0.2">
      <c r="A13" s="4" t="s">
        <v>6</v>
      </c>
      <c r="B13" s="14" t="s">
        <v>49</v>
      </c>
      <c r="C13" s="14" t="s">
        <v>52</v>
      </c>
      <c r="D13" s="100">
        <v>56</v>
      </c>
      <c r="E13" s="12">
        <v>30560</v>
      </c>
      <c r="F13" s="12">
        <v>3704</v>
      </c>
      <c r="G13" s="13">
        <v>16</v>
      </c>
      <c r="H13" s="22">
        <v>4.7139729486345061</v>
      </c>
      <c r="I13" s="22">
        <v>3.8617617460255511</v>
      </c>
      <c r="J13" s="22">
        <v>4.7670389270742648</v>
      </c>
      <c r="K13" s="22">
        <v>5.5175055603269998</v>
      </c>
      <c r="L13" s="22">
        <v>4.7139729486345061</v>
      </c>
      <c r="M13" s="22">
        <v>5.6741639043654519</v>
      </c>
      <c r="N13" s="22">
        <v>4.2275414830526197</v>
      </c>
      <c r="O13" s="22">
        <v>3.7160828422223044</v>
      </c>
      <c r="P13" s="22">
        <v>2.9297458237720986</v>
      </c>
      <c r="Q13" s="22">
        <v>3.7400196349405501</v>
      </c>
      <c r="R13" s="22">
        <v>3.797010462389534</v>
      </c>
      <c r="S13" s="22">
        <v>4.1616443326834691</v>
      </c>
      <c r="V13" s="22">
        <v>3.3842262955891544</v>
      </c>
      <c r="W13" s="22">
        <v>4.3162674778033674</v>
      </c>
    </row>
    <row r="14" spans="1:23" s="14" customFormat="1" x14ac:dyDescent="0.2">
      <c r="A14" s="4" t="s">
        <v>6</v>
      </c>
      <c r="B14" s="14" t="s">
        <v>16</v>
      </c>
      <c r="C14" s="14" t="s">
        <v>18</v>
      </c>
      <c r="D14" s="100">
        <v>62</v>
      </c>
      <c r="E14" s="11">
        <v>10620</v>
      </c>
      <c r="F14" s="12">
        <v>500</v>
      </c>
      <c r="G14" s="13">
        <v>2.5</v>
      </c>
      <c r="H14" s="22">
        <v>5.3712067501085023</v>
      </c>
      <c r="I14" s="22">
        <v>5.2801051467987055</v>
      </c>
      <c r="J14" s="22">
        <v>6.16113396010243</v>
      </c>
      <c r="K14" s="22">
        <v>6.5287230593098613</v>
      </c>
      <c r="L14" s="22">
        <v>5.3712067501085023</v>
      </c>
      <c r="M14" s="22">
        <v>5.6412568087122947</v>
      </c>
      <c r="N14" s="22">
        <v>5.9984331930830042</v>
      </c>
      <c r="O14" s="22">
        <v>4.7319192992899408</v>
      </c>
      <c r="P14" s="22">
        <v>4.3516154123934676</v>
      </c>
      <c r="Q14" s="22">
        <v>3.586128896353252</v>
      </c>
      <c r="R14" s="22">
        <v>4.4442832397011713</v>
      </c>
      <c r="S14" s="22">
        <v>5.2357210574890889</v>
      </c>
      <c r="T14" s="22">
        <v>6.4151744491333407</v>
      </c>
      <c r="U14" s="22">
        <v>6.0696602059488063</v>
      </c>
    </row>
    <row r="15" spans="1:23" s="14" customFormat="1" x14ac:dyDescent="0.2">
      <c r="A15" s="4" t="s">
        <v>6</v>
      </c>
      <c r="B15" s="14" t="s">
        <v>16</v>
      </c>
      <c r="C15" s="14" t="s">
        <v>18</v>
      </c>
      <c r="D15" s="100">
        <v>62</v>
      </c>
      <c r="E15" s="11">
        <v>20620</v>
      </c>
      <c r="F15" s="12">
        <v>926</v>
      </c>
      <c r="G15" s="13">
        <v>5</v>
      </c>
      <c r="H15" s="22">
        <v>5.082915686934367</v>
      </c>
      <c r="I15" s="22">
        <v>4.7259756357248497</v>
      </c>
      <c r="J15" s="22">
        <v>6.180924453540344</v>
      </c>
      <c r="K15" s="22">
        <v>6.5235324946337929</v>
      </c>
      <c r="L15" s="22">
        <v>5.082915686934367</v>
      </c>
      <c r="M15" s="22">
        <v>6.6293457122238877</v>
      </c>
      <c r="N15" s="22">
        <v>6.0484732111855255</v>
      </c>
      <c r="O15" s="22">
        <v>5.2165923457097998</v>
      </c>
      <c r="P15" s="22">
        <v>5.4641085670322527</v>
      </c>
      <c r="Q15" s="22">
        <v>5.2546155147570257</v>
      </c>
      <c r="R15" s="22">
        <v>4.3310518926243242</v>
      </c>
      <c r="S15" s="22">
        <v>5.0334616331900524</v>
      </c>
      <c r="T15" s="22">
        <v>6.0577471066411759</v>
      </c>
      <c r="U15" s="22">
        <v>5.5761161774489008</v>
      </c>
    </row>
    <row r="16" spans="1:23" s="14" customFormat="1" x14ac:dyDescent="0.2">
      <c r="A16" s="4" t="s">
        <v>6</v>
      </c>
      <c r="B16" s="14" t="s">
        <v>16</v>
      </c>
      <c r="C16" s="14" t="s">
        <v>18</v>
      </c>
      <c r="D16" s="100">
        <v>62</v>
      </c>
      <c r="E16" s="11">
        <v>30620</v>
      </c>
      <c r="F16" s="12">
        <v>3704</v>
      </c>
      <c r="G16" s="13">
        <v>17</v>
      </c>
      <c r="H16" s="22">
        <v>5.3795809293701478</v>
      </c>
      <c r="I16" s="22">
        <v>4.3896623356443927</v>
      </c>
      <c r="J16" s="22">
        <v>4.6131752686277752</v>
      </c>
      <c r="K16" s="22">
        <v>5.529992775705642</v>
      </c>
      <c r="L16" s="22">
        <v>5.3795809293701478</v>
      </c>
      <c r="M16" s="22">
        <v>5.2543923563758295</v>
      </c>
      <c r="N16" s="22">
        <v>4.2251666989956895</v>
      </c>
      <c r="O16" s="22">
        <v>3.6254220453323427</v>
      </c>
      <c r="P16" s="22">
        <v>4.1350790994614579</v>
      </c>
      <c r="Q16" s="22">
        <v>4.0979884382768557</v>
      </c>
      <c r="R16" s="22">
        <v>4.4465965958551292</v>
      </c>
      <c r="S16" s="22">
        <v>4.6541936785464042</v>
      </c>
      <c r="T16" s="22">
        <v>5.1911063236090191</v>
      </c>
      <c r="U16" s="22">
        <v>5.1462900339806774</v>
      </c>
    </row>
    <row r="17" spans="1:23" s="14" customFormat="1" x14ac:dyDescent="0.2">
      <c r="A17" s="4" t="s">
        <v>6</v>
      </c>
      <c r="B17" s="14" t="s">
        <v>16</v>
      </c>
      <c r="C17" s="14" t="s">
        <v>53</v>
      </c>
      <c r="D17" s="100">
        <v>64</v>
      </c>
      <c r="E17" s="12">
        <v>10640</v>
      </c>
      <c r="F17" s="12">
        <v>500</v>
      </c>
      <c r="G17" s="13">
        <v>2.5</v>
      </c>
      <c r="H17" s="22">
        <v>4.6265205311578264</v>
      </c>
      <c r="I17" s="22">
        <v>4.8706727173979347</v>
      </c>
      <c r="J17" s="22">
        <v>5.3180342668402618</v>
      </c>
      <c r="K17" s="22">
        <v>6.2189291926551542</v>
      </c>
      <c r="L17" s="22">
        <v>4.6265205311578264</v>
      </c>
      <c r="M17" s="22">
        <v>6.5567372731274274</v>
      </c>
      <c r="N17" s="22">
        <v>7.3962427228698404</v>
      </c>
      <c r="O17" s="22">
        <v>6.3286567643344354</v>
      </c>
      <c r="P17" s="22">
        <v>5.3010669923349809</v>
      </c>
      <c r="Q17" s="22">
        <v>4.2480727413253501</v>
      </c>
      <c r="R17" s="22">
        <v>5.1078556048927828</v>
      </c>
      <c r="S17" s="22">
        <v>5.2918442384082027</v>
      </c>
      <c r="T17" s="22">
        <v>6.7572496480974742</v>
      </c>
      <c r="U17" s="22">
        <v>6.2031353163523297</v>
      </c>
      <c r="V17" s="22">
        <v>5.1899047291871696</v>
      </c>
      <c r="W17" s="22">
        <v>5.7804439928776175</v>
      </c>
    </row>
    <row r="18" spans="1:23" s="14" customFormat="1" x14ac:dyDescent="0.2">
      <c r="A18" s="4" t="s">
        <v>6</v>
      </c>
      <c r="B18" s="14" t="s">
        <v>16</v>
      </c>
      <c r="C18" s="14" t="s">
        <v>53</v>
      </c>
      <c r="D18" s="100">
        <v>64</v>
      </c>
      <c r="E18" s="12">
        <v>20640</v>
      </c>
      <c r="F18" s="12">
        <v>926</v>
      </c>
      <c r="G18" s="13">
        <v>9.5</v>
      </c>
      <c r="H18" s="22">
        <v>5.463022153962366</v>
      </c>
      <c r="I18" s="22">
        <v>4.819608517217234</v>
      </c>
      <c r="J18" s="22">
        <v>5.5905763886221571</v>
      </c>
      <c r="K18" s="22">
        <v>6.156376880450515</v>
      </c>
      <c r="L18" s="22">
        <v>5.463022153962366</v>
      </c>
      <c r="M18" s="22">
        <v>5.7281604429565807</v>
      </c>
      <c r="N18" s="22">
        <v>5.218016675937033</v>
      </c>
      <c r="O18" s="22">
        <v>5.2451486979853694</v>
      </c>
      <c r="P18" s="22">
        <v>5.4650247583504399</v>
      </c>
      <c r="Q18" s="22">
        <v>4.7420705271317161</v>
      </c>
      <c r="R18" s="22">
        <v>4.1265971257621397</v>
      </c>
      <c r="S18" s="22">
        <v>5.1909746076912855</v>
      </c>
      <c r="T18" s="22">
        <v>6.9230967776002279</v>
      </c>
      <c r="U18" s="22">
        <v>5.3947905697907474</v>
      </c>
      <c r="V18" s="22">
        <v>4.9257665476873393</v>
      </c>
      <c r="W18" s="22">
        <v>5.6360866300378669</v>
      </c>
    </row>
    <row r="19" spans="1:23" s="14" customFormat="1" x14ac:dyDescent="0.2">
      <c r="A19" s="4" t="s">
        <v>6</v>
      </c>
      <c r="B19" s="14" t="s">
        <v>16</v>
      </c>
      <c r="C19" s="14" t="s">
        <v>53</v>
      </c>
      <c r="D19" s="100">
        <v>64</v>
      </c>
      <c r="E19" s="12">
        <v>30640</v>
      </c>
      <c r="F19" s="12">
        <v>3704</v>
      </c>
      <c r="G19" s="13">
        <v>19</v>
      </c>
      <c r="H19" s="22">
        <v>5.1689037438793521</v>
      </c>
      <c r="I19" s="22">
        <v>5.257681639277231</v>
      </c>
      <c r="J19" s="22">
        <v>5.2356879784669088</v>
      </c>
      <c r="K19" s="22">
        <v>5.9104676041912914</v>
      </c>
      <c r="L19" s="22">
        <v>5.1689037438793521</v>
      </c>
      <c r="M19" s="22">
        <v>6.0914498521954537</v>
      </c>
      <c r="N19" s="22">
        <v>3.9165891120532077</v>
      </c>
      <c r="O19" s="22">
        <v>4.1157941682515187</v>
      </c>
      <c r="P19" s="22">
        <v>3.5151046041433696</v>
      </c>
      <c r="Q19" s="22">
        <v>3.0513915057393932</v>
      </c>
      <c r="R19" s="22">
        <v>3.9829263267684198</v>
      </c>
      <c r="S19" s="22">
        <v>4.4784474463614039</v>
      </c>
      <c r="T19" s="22">
        <v>5.5532594088504768</v>
      </c>
      <c r="U19" s="22">
        <v>3.2699570848063551</v>
      </c>
      <c r="V19" s="22">
        <v>4.8350106835986129</v>
      </c>
      <c r="W19" s="22">
        <v>4.6436596980118052</v>
      </c>
    </row>
    <row r="20" spans="1:23" s="14" customFormat="1" x14ac:dyDescent="0.2">
      <c r="A20" s="4" t="s">
        <v>19</v>
      </c>
      <c r="B20" s="14" t="s">
        <v>20</v>
      </c>
      <c r="C20" s="14" t="s">
        <v>54</v>
      </c>
      <c r="D20" s="100">
        <v>72</v>
      </c>
      <c r="E20" s="12">
        <v>10720</v>
      </c>
      <c r="F20" s="12">
        <v>500</v>
      </c>
      <c r="G20" s="13">
        <v>2</v>
      </c>
      <c r="H20" s="22">
        <v>5.4124462694512525</v>
      </c>
      <c r="I20" s="22">
        <v>4.5734802936828984</v>
      </c>
      <c r="J20" s="22">
        <v>5.0701642751463041</v>
      </c>
      <c r="K20" s="22">
        <v>5.9490429349259735</v>
      </c>
      <c r="L20" s="22">
        <v>5.4124462694512525</v>
      </c>
      <c r="M20" s="22">
        <v>5.5252415854475547</v>
      </c>
      <c r="N20" s="22">
        <v>5.0811769240750495</v>
      </c>
      <c r="O20" s="22">
        <v>4.3831928674398046</v>
      </c>
      <c r="P20" s="22">
        <v>4.0359552165078982</v>
      </c>
      <c r="Q20" s="22">
        <v>4.8025166750584178</v>
      </c>
      <c r="R20" s="22">
        <v>4.2559307437961689</v>
      </c>
      <c r="S20" s="22">
        <v>5.4996600478377502</v>
      </c>
      <c r="T20" s="22">
        <v>6.1256919188588403</v>
      </c>
      <c r="V20" s="22">
        <v>5.1820761740312058</v>
      </c>
      <c r="W20" s="22">
        <v>5.0212421438170454</v>
      </c>
    </row>
    <row r="21" spans="1:23" s="14" customFormat="1" x14ac:dyDescent="0.2">
      <c r="A21" s="4" t="s">
        <v>19</v>
      </c>
      <c r="B21" s="14" t="s">
        <v>20</v>
      </c>
      <c r="C21" s="14" t="s">
        <v>54</v>
      </c>
      <c r="D21" s="100">
        <v>72</v>
      </c>
      <c r="E21" s="12">
        <v>20720</v>
      </c>
      <c r="F21" s="12">
        <v>926</v>
      </c>
      <c r="G21" s="13">
        <v>3.5</v>
      </c>
      <c r="H21" s="22">
        <v>4.7704619255520502</v>
      </c>
      <c r="I21" s="22">
        <v>4.4547088744940169</v>
      </c>
      <c r="J21" s="22">
        <v>5.3914417209507572</v>
      </c>
      <c r="K21" s="22">
        <v>5.9708960450928039</v>
      </c>
      <c r="L21" s="22">
        <v>4.7704619255520502</v>
      </c>
      <c r="M21" s="22">
        <v>4.9359500257081459</v>
      </c>
      <c r="N21" s="22">
        <v>5.4751994821809209</v>
      </c>
      <c r="O21" s="22">
        <v>4.1207240505616758</v>
      </c>
      <c r="P21" s="22">
        <v>3.8234076933354428</v>
      </c>
      <c r="Q21" s="22">
        <v>4.9436168847990745</v>
      </c>
      <c r="R21" s="22">
        <v>4.2653797661564248</v>
      </c>
      <c r="S21" s="22">
        <v>5.3963176997170779</v>
      </c>
      <c r="T21" s="22">
        <v>5.8392751410529815</v>
      </c>
      <c r="V21" s="22">
        <v>5.2693248073937191</v>
      </c>
      <c r="W21" s="22">
        <v>4.952019918685699</v>
      </c>
    </row>
    <row r="22" spans="1:23" x14ac:dyDescent="0.2">
      <c r="A22" s="4" t="s">
        <v>19</v>
      </c>
      <c r="B22" s="14" t="s">
        <v>20</v>
      </c>
      <c r="C22" s="14" t="s">
        <v>54</v>
      </c>
      <c r="D22" s="100">
        <v>72</v>
      </c>
      <c r="E22" s="12">
        <v>30720</v>
      </c>
      <c r="F22" s="12">
        <v>3704</v>
      </c>
      <c r="G22" s="13">
        <v>13.5</v>
      </c>
      <c r="H22" s="22">
        <v>4.9990889929907674</v>
      </c>
      <c r="I22" s="22">
        <v>4.7425914272748271</v>
      </c>
      <c r="J22" s="22">
        <v>5.445303379694252</v>
      </c>
      <c r="K22" s="22">
        <v>5.5427201562437913</v>
      </c>
      <c r="L22" s="22">
        <v>4.9990889929907674</v>
      </c>
      <c r="M22" s="22">
        <v>5.2504107520767702</v>
      </c>
      <c r="N22" s="22">
        <v>3.3137510157178025</v>
      </c>
      <c r="O22" s="22">
        <v>4.1428776596922132</v>
      </c>
      <c r="P22" s="22">
        <v>3.3512399082975293</v>
      </c>
      <c r="Q22" s="22">
        <v>4.9892859782579828</v>
      </c>
      <c r="R22" s="22">
        <v>4.215534548710469</v>
      </c>
      <c r="S22" s="22">
        <v>4.0184783002468478</v>
      </c>
      <c r="T22" s="22">
        <v>5.9891592427102527</v>
      </c>
      <c r="V22" s="22">
        <v>4.9733759447131387</v>
      </c>
      <c r="W22" s="22">
        <v>4.8919075000570915</v>
      </c>
    </row>
    <row r="23" spans="1:23" x14ac:dyDescent="0.2">
      <c r="A23" s="4" t="s">
        <v>19</v>
      </c>
      <c r="B23" s="15" t="s">
        <v>22</v>
      </c>
      <c r="C23" s="15" t="s">
        <v>23</v>
      </c>
      <c r="D23" s="100">
        <v>77</v>
      </c>
      <c r="E23" s="11">
        <v>10770</v>
      </c>
      <c r="F23" s="12">
        <v>500</v>
      </c>
      <c r="G23" s="13">
        <v>2</v>
      </c>
      <c r="H23" s="22">
        <v>5.5983734669827347</v>
      </c>
      <c r="I23" s="22">
        <v>4.3835590885800348</v>
      </c>
      <c r="J23" s="22">
        <v>5.4753096404385841</v>
      </c>
      <c r="K23" s="22">
        <v>5.5877694635388915</v>
      </c>
      <c r="L23" s="22">
        <v>5.5983734669827347</v>
      </c>
      <c r="M23" s="22">
        <v>6.0118659519815765</v>
      </c>
      <c r="N23" s="22">
        <v>5.2866035192562668</v>
      </c>
      <c r="O23" s="22">
        <v>5.0070939082081605</v>
      </c>
      <c r="P23" s="22">
        <v>3.2756806565570207</v>
      </c>
      <c r="Q23" s="22">
        <v>5.172904744455658</v>
      </c>
      <c r="R23" s="22">
        <v>3.8295992980706295</v>
      </c>
      <c r="T23" s="22">
        <v>6.6699301750801698</v>
      </c>
    </row>
    <row r="24" spans="1:23" x14ac:dyDescent="0.2">
      <c r="A24" s="4" t="s">
        <v>19</v>
      </c>
      <c r="B24" s="15" t="s">
        <v>22</v>
      </c>
      <c r="C24" s="15" t="s">
        <v>23</v>
      </c>
      <c r="D24" s="100">
        <v>77</v>
      </c>
      <c r="E24" s="11">
        <v>20770</v>
      </c>
      <c r="F24" s="12">
        <v>926</v>
      </c>
      <c r="G24" s="13">
        <v>4</v>
      </c>
      <c r="H24" s="22">
        <v>5.6376930829690313</v>
      </c>
      <c r="I24" s="22">
        <v>4.400929301754366</v>
      </c>
      <c r="J24" s="22">
        <v>5.3031935643349524</v>
      </c>
      <c r="K24" s="22">
        <v>5.1505259644428678</v>
      </c>
      <c r="L24" s="22">
        <v>5.6376930829690313</v>
      </c>
      <c r="M24" s="22">
        <v>5.4773605562541094</v>
      </c>
      <c r="N24" s="22">
        <v>4.900628190531279</v>
      </c>
      <c r="O24" s="22">
        <v>4.1713657435996856</v>
      </c>
      <c r="P24" s="22">
        <v>3.8542925311159313</v>
      </c>
      <c r="Q24" s="22">
        <v>5.1385680500597699</v>
      </c>
      <c r="R24" s="22">
        <v>4.412359721310958</v>
      </c>
      <c r="T24" s="22">
        <v>6.2382778997628288</v>
      </c>
    </row>
    <row r="25" spans="1:23" x14ac:dyDescent="0.2">
      <c r="A25" s="4" t="s">
        <v>19</v>
      </c>
      <c r="B25" s="15" t="s">
        <v>22</v>
      </c>
      <c r="C25" s="15" t="s">
        <v>23</v>
      </c>
      <c r="D25" s="100">
        <v>77</v>
      </c>
      <c r="E25" s="11">
        <v>30770</v>
      </c>
      <c r="F25" s="12">
        <v>3704</v>
      </c>
      <c r="G25" s="13">
        <v>13.5</v>
      </c>
      <c r="H25" s="22">
        <v>5.5950480298451817</v>
      </c>
      <c r="I25" s="22">
        <v>4.9951968614226256</v>
      </c>
      <c r="J25" s="22">
        <v>5.3019247930716968</v>
      </c>
      <c r="K25" s="22">
        <v>5.378581542220636</v>
      </c>
      <c r="L25" s="22">
        <v>5.5950480298451817</v>
      </c>
      <c r="M25" s="22">
        <v>4.9935103743988716</v>
      </c>
      <c r="N25" s="22">
        <v>4.754349742249091</v>
      </c>
      <c r="O25" s="22">
        <v>3.5515083390915447</v>
      </c>
      <c r="P25" s="22">
        <v>3.0831585586159833</v>
      </c>
      <c r="Q25" s="22">
        <v>5.1434570051103181</v>
      </c>
      <c r="R25" s="22">
        <v>4.3518403072699003</v>
      </c>
      <c r="T25" s="22">
        <v>5.5958362489313709</v>
      </c>
    </row>
    <row r="26" spans="1:23" ht="12.75" customHeight="1" x14ac:dyDescent="0.2">
      <c r="A26" s="4" t="s">
        <v>19</v>
      </c>
      <c r="B26" s="15" t="s">
        <v>24</v>
      </c>
      <c r="C26" s="15" t="s">
        <v>55</v>
      </c>
      <c r="D26" s="100">
        <v>80</v>
      </c>
      <c r="E26" s="11">
        <v>10800</v>
      </c>
      <c r="F26" s="12">
        <v>500</v>
      </c>
      <c r="G26" s="8">
        <v>3</v>
      </c>
      <c r="H26" s="22">
        <v>5.1314626125391083</v>
      </c>
      <c r="I26" s="22">
        <v>4.8101695603906789</v>
      </c>
      <c r="J26" s="22">
        <v>5.3576706641871388</v>
      </c>
      <c r="K26" s="22">
        <v>4.7533269762065213</v>
      </c>
      <c r="L26" s="22">
        <v>5.1314626125391083</v>
      </c>
      <c r="M26" s="22">
        <v>5.2067102059910164</v>
      </c>
      <c r="N26" s="22">
        <v>5.8296842066580146</v>
      </c>
      <c r="O26" s="22">
        <v>5.0571227190919084</v>
      </c>
      <c r="Q26" s="22">
        <v>5.1890494567280809</v>
      </c>
      <c r="R26" s="22">
        <v>4.7246272866959691</v>
      </c>
      <c r="T26" s="22">
        <v>5.6466551191541496</v>
      </c>
    </row>
    <row r="27" spans="1:23" ht="12.75" customHeight="1" x14ac:dyDescent="0.2">
      <c r="A27" s="4" t="s">
        <v>19</v>
      </c>
      <c r="B27" s="15" t="s">
        <v>24</v>
      </c>
      <c r="C27" s="15" t="s">
        <v>55</v>
      </c>
      <c r="D27" s="100">
        <v>80</v>
      </c>
      <c r="E27" s="11">
        <v>20800</v>
      </c>
      <c r="F27" s="12">
        <v>926</v>
      </c>
      <c r="G27" s="8">
        <v>4</v>
      </c>
      <c r="H27" s="22">
        <v>5.1202937418144083</v>
      </c>
      <c r="I27" s="22">
        <v>4.9264547312758147</v>
      </c>
      <c r="J27" s="22">
        <v>5.3224258573999892</v>
      </c>
      <c r="K27" s="22">
        <v>4.8938903989910241</v>
      </c>
      <c r="L27" s="22">
        <v>5.1202937418144083</v>
      </c>
      <c r="M27" s="22">
        <v>5.1619573860284422</v>
      </c>
      <c r="N27" s="22">
        <v>5.5123387586010733</v>
      </c>
      <c r="O27" s="22">
        <v>5.1610909349855438</v>
      </c>
      <c r="Q27" s="22">
        <v>5.2363641786568058</v>
      </c>
      <c r="R27" s="22">
        <v>4.708776142475493</v>
      </c>
      <c r="T27" s="22">
        <v>5.7624800063462409</v>
      </c>
    </row>
    <row r="28" spans="1:23" ht="12.75" customHeight="1" x14ac:dyDescent="0.2">
      <c r="A28" s="4" t="s">
        <v>19</v>
      </c>
      <c r="B28" s="15" t="s">
        <v>24</v>
      </c>
      <c r="C28" s="15" t="s">
        <v>55</v>
      </c>
      <c r="D28" s="100">
        <v>80</v>
      </c>
      <c r="E28" s="11">
        <v>30800</v>
      </c>
      <c r="F28" s="12">
        <v>3704</v>
      </c>
      <c r="G28" s="8">
        <v>16</v>
      </c>
      <c r="H28" s="22">
        <v>5.2957641081062503</v>
      </c>
      <c r="I28" s="22">
        <v>5.1305039952052942</v>
      </c>
      <c r="J28" s="22">
        <v>5.4905260500692865</v>
      </c>
      <c r="K28" s="22">
        <v>4.5606598075740434</v>
      </c>
      <c r="L28" s="22">
        <v>5.2957641081062503</v>
      </c>
      <c r="M28" s="22">
        <v>5.619058581433146</v>
      </c>
      <c r="N28" s="22">
        <v>3.4301864755842466</v>
      </c>
      <c r="O28" s="22">
        <v>4.8377044464671828</v>
      </c>
      <c r="Q28" s="22">
        <v>4.5688001694067415</v>
      </c>
      <c r="R28" s="22">
        <v>3.3154409130012863</v>
      </c>
      <c r="T28" s="22">
        <v>4.4685155073831391</v>
      </c>
    </row>
    <row r="29" spans="1:23" ht="12.75" customHeight="1" x14ac:dyDescent="0.2">
      <c r="A29" s="4" t="s">
        <v>19</v>
      </c>
      <c r="B29" s="15" t="s">
        <v>24</v>
      </c>
      <c r="C29" s="15" t="s">
        <v>25</v>
      </c>
      <c r="D29" s="100">
        <v>601</v>
      </c>
      <c r="E29" s="11">
        <v>16010</v>
      </c>
      <c r="F29" s="12">
        <v>500</v>
      </c>
      <c r="G29" s="9">
        <v>5</v>
      </c>
      <c r="H29" s="22">
        <v>5.2901976021711477</v>
      </c>
      <c r="I29" s="22">
        <v>5.3257505363943016</v>
      </c>
      <c r="J29" s="22">
        <v>5.3359830423833232</v>
      </c>
      <c r="K29" s="22">
        <v>4.8941947060623416</v>
      </c>
      <c r="L29" s="22">
        <v>5.2901976021711477</v>
      </c>
      <c r="M29" s="22">
        <v>6.3333491473565875</v>
      </c>
      <c r="N29" s="22">
        <v>4.2555899422077559</v>
      </c>
      <c r="O29" s="22">
        <v>6.6128648234747827</v>
      </c>
      <c r="P29" s="22">
        <v>4.9842658071432782</v>
      </c>
      <c r="Q29" s="22">
        <v>6.2559273425725861</v>
      </c>
      <c r="T29" s="22">
        <v>6.0990445048710438</v>
      </c>
      <c r="V29" s="22">
        <v>5.5415671891307161</v>
      </c>
      <c r="W29" s="22">
        <v>4.7028026293917771</v>
      </c>
    </row>
    <row r="30" spans="1:23" ht="12.75" customHeight="1" x14ac:dyDescent="0.2">
      <c r="A30" s="4" t="s">
        <v>19</v>
      </c>
      <c r="B30" s="15" t="s">
        <v>24</v>
      </c>
      <c r="C30" s="15" t="s">
        <v>25</v>
      </c>
      <c r="D30" s="100">
        <v>601</v>
      </c>
      <c r="E30" s="11">
        <v>26010</v>
      </c>
      <c r="F30" s="12">
        <v>926</v>
      </c>
      <c r="G30" s="9">
        <v>16</v>
      </c>
      <c r="H30" s="22">
        <v>5.7823778349528112</v>
      </c>
      <c r="I30" s="22">
        <v>5.0631358659867818</v>
      </c>
      <c r="J30" s="22">
        <v>5.4180002954889153</v>
      </c>
      <c r="K30" s="22">
        <v>5.3173456876342282</v>
      </c>
      <c r="L30" s="22">
        <v>5.7823778349528112</v>
      </c>
      <c r="M30" s="22">
        <v>6.0710196301664068</v>
      </c>
      <c r="N30" s="22">
        <v>4.1946765930644663</v>
      </c>
      <c r="O30" s="22">
        <v>4.1729689769999512</v>
      </c>
      <c r="P30" s="22">
        <v>4.8312615600682047</v>
      </c>
      <c r="Q30" s="22">
        <v>6.4072583955771139</v>
      </c>
      <c r="T30" s="22">
        <v>5.6469013926823832</v>
      </c>
      <c r="V30" s="22">
        <v>6.5256572748060648</v>
      </c>
      <c r="W30" s="22">
        <v>5.738490332981633</v>
      </c>
    </row>
    <row r="31" spans="1:23" ht="12.75" customHeight="1" x14ac:dyDescent="0.2">
      <c r="A31" s="4" t="s">
        <v>19</v>
      </c>
      <c r="B31" s="15" t="s">
        <v>24</v>
      </c>
      <c r="C31" s="15" t="s">
        <v>25</v>
      </c>
      <c r="D31" s="100">
        <v>601</v>
      </c>
      <c r="E31" s="11">
        <v>36010</v>
      </c>
      <c r="F31" s="12">
        <v>3704</v>
      </c>
      <c r="G31" s="9">
        <v>27</v>
      </c>
      <c r="H31" s="22">
        <v>4.9641198502512864</v>
      </c>
      <c r="I31" s="22">
        <v>5.0850710024257202</v>
      </c>
      <c r="J31" s="22">
        <v>5.103376303133758</v>
      </c>
      <c r="K31" s="22">
        <v>5.5857576156039537</v>
      </c>
      <c r="L31" s="22">
        <v>4.9641198502512864</v>
      </c>
      <c r="M31" s="22">
        <v>5.6263657542501244</v>
      </c>
      <c r="N31" s="22">
        <v>3.7936995506899258</v>
      </c>
      <c r="O31" s="22">
        <v>5.345312325668834</v>
      </c>
      <c r="P31" s="22">
        <v>4.4812567389860343</v>
      </c>
      <c r="Q31" s="22">
        <v>5.0956111536967228</v>
      </c>
      <c r="T31" s="22">
        <v>5.6341919478349718</v>
      </c>
      <c r="V31" s="22">
        <v>5.5075946985721718</v>
      </c>
      <c r="W31" s="22">
        <v>5.5717559401149366</v>
      </c>
    </row>
    <row r="32" spans="1:23" x14ac:dyDescent="0.2">
      <c r="A32" s="4" t="s">
        <v>19</v>
      </c>
      <c r="B32" s="15" t="s">
        <v>24</v>
      </c>
      <c r="C32" s="15" t="s">
        <v>56</v>
      </c>
      <c r="D32" s="100">
        <v>82</v>
      </c>
      <c r="E32" s="11">
        <v>10820</v>
      </c>
      <c r="F32" s="12">
        <v>500</v>
      </c>
      <c r="G32" s="9">
        <v>4.5</v>
      </c>
      <c r="H32" s="22">
        <v>5.3465586970615826</v>
      </c>
      <c r="I32" s="22">
        <v>6.6783131285775568</v>
      </c>
      <c r="J32" s="22">
        <v>6.0184289296706446</v>
      </c>
      <c r="K32" s="22">
        <v>6.1876805651058033</v>
      </c>
      <c r="L32" s="22">
        <v>5.3465586970615826</v>
      </c>
      <c r="M32" s="22">
        <v>6.5737753028886567</v>
      </c>
      <c r="N32" s="22">
        <v>5.4071676862795819</v>
      </c>
      <c r="O32" s="22">
        <v>4.1617390694534944</v>
      </c>
      <c r="P32" s="22">
        <v>4.1040448674122931</v>
      </c>
      <c r="Q32" s="22">
        <v>5.4640964238023386</v>
      </c>
      <c r="T32" s="22">
        <v>6.9540587554957645</v>
      </c>
    </row>
    <row r="33" spans="1:20" x14ac:dyDescent="0.2">
      <c r="A33" s="4" t="s">
        <v>19</v>
      </c>
      <c r="B33" s="15" t="s">
        <v>24</v>
      </c>
      <c r="C33" s="15" t="s">
        <v>56</v>
      </c>
      <c r="D33" s="100">
        <v>82</v>
      </c>
      <c r="E33" s="11">
        <v>20820</v>
      </c>
      <c r="F33" s="12">
        <v>926</v>
      </c>
      <c r="G33" s="9">
        <v>6.5</v>
      </c>
      <c r="H33" s="22">
        <v>5.6782257257977742</v>
      </c>
      <c r="I33" s="22">
        <v>6.2064947424846642</v>
      </c>
      <c r="J33" s="22">
        <v>6.4025035775736434</v>
      </c>
      <c r="K33" s="22">
        <v>6.1748109621205751</v>
      </c>
      <c r="L33" s="22">
        <v>5.6782257257977742</v>
      </c>
      <c r="M33" s="22">
        <v>6.7069368028253162</v>
      </c>
      <c r="N33" s="22">
        <v>5.5872890468608691</v>
      </c>
      <c r="O33" s="22">
        <v>3.4221208968084094</v>
      </c>
      <c r="P33" s="22">
        <v>4.7396568478017134</v>
      </c>
      <c r="Q33" s="22">
        <v>5.4059114809727777</v>
      </c>
      <c r="T33" s="22">
        <v>7.5343085581246827</v>
      </c>
    </row>
    <row r="34" spans="1:20" x14ac:dyDescent="0.2">
      <c r="A34" s="4" t="s">
        <v>19</v>
      </c>
      <c r="B34" s="15" t="s">
        <v>24</v>
      </c>
      <c r="C34" s="15" t="s">
        <v>56</v>
      </c>
      <c r="D34" s="100">
        <v>82</v>
      </c>
      <c r="E34" s="11">
        <v>30820</v>
      </c>
      <c r="F34" s="12">
        <v>3704</v>
      </c>
      <c r="G34" s="9">
        <v>15</v>
      </c>
      <c r="H34" s="22">
        <v>5.4857778500960732</v>
      </c>
      <c r="I34" s="22">
        <v>5.2756154969033799</v>
      </c>
      <c r="J34" s="22">
        <v>6.5933446891767105</v>
      </c>
      <c r="K34" s="22">
        <v>5.9670163055691718</v>
      </c>
      <c r="L34" s="22">
        <v>5.4857778500960732</v>
      </c>
      <c r="M34" s="22">
        <v>6.1132044714703975</v>
      </c>
      <c r="N34" s="22">
        <v>5.2693473230205212</v>
      </c>
      <c r="O34" s="22">
        <v>2.9903284225385187</v>
      </c>
      <c r="P34" s="22">
        <v>5.2997047090259608</v>
      </c>
      <c r="Q34" s="22">
        <v>4.7306083920692457</v>
      </c>
      <c r="T34" s="22">
        <v>7.2235060433267417</v>
      </c>
    </row>
    <row r="35" spans="1:20" x14ac:dyDescent="0.2">
      <c r="A35" s="4" t="s">
        <v>19</v>
      </c>
      <c r="B35" s="15" t="s">
        <v>24</v>
      </c>
      <c r="C35" s="15" t="s">
        <v>26</v>
      </c>
      <c r="D35" s="100">
        <v>602</v>
      </c>
      <c r="E35" s="11">
        <v>16020</v>
      </c>
      <c r="F35" s="12">
        <v>500</v>
      </c>
      <c r="G35" s="9">
        <v>3</v>
      </c>
      <c r="H35" s="22">
        <v>5.8609681628242152</v>
      </c>
      <c r="I35" s="22">
        <v>6.9734026731725391</v>
      </c>
      <c r="J35" s="22">
        <v>7.0309601613882462</v>
      </c>
      <c r="K35" s="22">
        <v>4.6261906887429829</v>
      </c>
      <c r="L35" s="22">
        <v>5.8609681628242152</v>
      </c>
      <c r="M35" s="22">
        <v>7.3354312768061787</v>
      </c>
      <c r="N35" s="22">
        <v>5.5766700146431729</v>
      </c>
      <c r="O35" s="22">
        <v>4.9461658709390752</v>
      </c>
      <c r="Q35" s="22">
        <v>5.5427747566130172</v>
      </c>
      <c r="T35" s="22">
        <v>7.2459722271669547</v>
      </c>
    </row>
    <row r="36" spans="1:20" x14ac:dyDescent="0.2">
      <c r="A36" s="4" t="s">
        <v>19</v>
      </c>
      <c r="B36" s="15" t="s">
        <v>24</v>
      </c>
      <c r="C36" s="15" t="s">
        <v>26</v>
      </c>
      <c r="D36" s="100">
        <v>602</v>
      </c>
      <c r="E36" s="11">
        <v>26020</v>
      </c>
      <c r="F36" s="12">
        <v>926</v>
      </c>
      <c r="G36" s="9">
        <v>5</v>
      </c>
      <c r="H36" s="22">
        <v>5.3329412039001491</v>
      </c>
      <c r="I36" s="22">
        <v>6.9528624180663785</v>
      </c>
      <c r="J36" s="22">
        <v>6.6314784660259587</v>
      </c>
      <c r="K36" s="22">
        <v>6.2921678251740678</v>
      </c>
      <c r="L36" s="22">
        <v>5.3329412039001491</v>
      </c>
      <c r="M36" s="22">
        <v>5.8655191426359679</v>
      </c>
      <c r="N36" s="22">
        <v>5.4652831442139718</v>
      </c>
      <c r="O36" s="22">
        <v>3.2466480942987697</v>
      </c>
      <c r="Q36" s="22">
        <v>5.1469710797582193</v>
      </c>
      <c r="T36" s="22">
        <v>6.4190899976730336</v>
      </c>
    </row>
    <row r="37" spans="1:20" x14ac:dyDescent="0.2">
      <c r="A37" s="4" t="s">
        <v>19</v>
      </c>
      <c r="B37" s="15" t="s">
        <v>24</v>
      </c>
      <c r="C37" s="15" t="s">
        <v>26</v>
      </c>
      <c r="D37" s="100">
        <v>602</v>
      </c>
      <c r="E37" s="11">
        <v>36020</v>
      </c>
      <c r="F37" s="12">
        <v>3704</v>
      </c>
      <c r="G37" s="9">
        <v>13</v>
      </c>
      <c r="H37" s="22">
        <v>5.1690557089263489</v>
      </c>
      <c r="I37" s="22">
        <v>6.206869795709089</v>
      </c>
      <c r="J37" s="22">
        <v>6.4375478727354469</v>
      </c>
      <c r="K37" s="22">
        <v>5.7489060807577577</v>
      </c>
      <c r="L37" s="22">
        <v>5.1690557089263489</v>
      </c>
      <c r="M37" s="22">
        <v>6.6829611195047178</v>
      </c>
      <c r="N37" s="22">
        <v>5.659453609346639</v>
      </c>
      <c r="O37" s="22">
        <v>3.5505836191550433</v>
      </c>
      <c r="Q37" s="22">
        <v>4.343122539732466</v>
      </c>
      <c r="T37" s="22">
        <v>7.0724505338107697</v>
      </c>
    </row>
    <row r="41" spans="1:20" x14ac:dyDescent="0.2">
      <c r="L41" s="22"/>
    </row>
    <row r="44" spans="1:20" x14ac:dyDescent="0.2">
      <c r="B44" s="5"/>
    </row>
    <row r="45" spans="1:20" x14ac:dyDescent="0.2">
      <c r="B45" s="5"/>
    </row>
    <row r="46" spans="1:20" x14ac:dyDescent="0.2">
      <c r="B46" s="5"/>
    </row>
    <row r="47" spans="1:20" x14ac:dyDescent="0.2">
      <c r="B47" s="5"/>
    </row>
    <row r="48" spans="1:20" x14ac:dyDescent="0.2">
      <c r="B48" s="5"/>
    </row>
    <row r="49" spans="2:2" x14ac:dyDescent="0.2">
      <c r="B49" s="5"/>
    </row>
  </sheetData>
  <phoneticPr fontId="4"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40"/>
  <sheetViews>
    <sheetView topLeftCell="R1" workbookViewId="0">
      <selection activeCell="Z27" sqref="Z27:AD27"/>
    </sheetView>
  </sheetViews>
  <sheetFormatPr defaultRowHeight="12.75" x14ac:dyDescent="0.2"/>
  <cols>
    <col min="1" max="1" width="5.7109375" style="12" customWidth="1"/>
    <col min="2" max="2" width="22.85546875" style="15" bestFit="1" customWidth="1"/>
    <col min="3" max="3" width="38" style="15" bestFit="1" customWidth="1"/>
    <col min="4" max="4" width="10.42578125" style="15" customWidth="1"/>
    <col min="5" max="5" width="16.28515625" style="12" customWidth="1"/>
    <col min="6" max="6" width="14.140625" style="15" customWidth="1"/>
    <col min="7" max="7" width="11.28515625" style="15" bestFit="1" customWidth="1"/>
    <col min="8" max="18" width="9.140625" style="15"/>
    <col min="19" max="19" width="12" style="15" customWidth="1"/>
    <col min="20" max="20" width="11.85546875" style="15" customWidth="1"/>
    <col min="21" max="21" width="9.140625" style="15"/>
    <col min="22" max="22" width="9.85546875" style="15" customWidth="1"/>
    <col min="23" max="24" width="10.140625" style="15" customWidth="1"/>
    <col min="25" max="25" width="11.85546875" customWidth="1"/>
    <col min="26" max="26" width="15.28515625" style="15" bestFit="1" customWidth="1"/>
    <col min="27" max="27" width="16.42578125" style="15" customWidth="1"/>
    <col min="28" max="30" width="15.28515625" style="15" customWidth="1"/>
    <col min="31" max="16384" width="9.140625" style="15"/>
  </cols>
  <sheetData>
    <row r="1" spans="1:30" ht="36.950000000000003" customHeight="1" x14ac:dyDescent="0.2">
      <c r="X1" s="371" t="s">
        <v>90</v>
      </c>
      <c r="Y1" s="371"/>
      <c r="Z1" s="371"/>
      <c r="AB1" s="371" t="s">
        <v>94</v>
      </c>
      <c r="AC1" s="371"/>
      <c r="AD1" s="371"/>
    </row>
    <row r="2" spans="1:30" s="10" customFormat="1" ht="51" x14ac:dyDescent="0.2">
      <c r="A2" s="1" t="s">
        <v>0</v>
      </c>
      <c r="B2" s="2" t="s">
        <v>1</v>
      </c>
      <c r="C2" s="1" t="s">
        <v>2</v>
      </c>
      <c r="D2" s="3" t="s">
        <v>89</v>
      </c>
      <c r="E2" s="3" t="s">
        <v>3</v>
      </c>
      <c r="F2" s="1" t="s">
        <v>4</v>
      </c>
      <c r="G2" s="1" t="s">
        <v>5</v>
      </c>
      <c r="H2" s="3" t="s">
        <v>28</v>
      </c>
      <c r="I2" s="3" t="s">
        <v>29</v>
      </c>
      <c r="J2" s="3" t="s">
        <v>30</v>
      </c>
      <c r="K2" s="3" t="s">
        <v>31</v>
      </c>
      <c r="L2" s="3" t="s">
        <v>45</v>
      </c>
      <c r="M2" s="3" t="s">
        <v>35</v>
      </c>
      <c r="N2" s="3" t="s">
        <v>36</v>
      </c>
      <c r="O2" s="3" t="s">
        <v>34</v>
      </c>
      <c r="P2" s="3" t="s">
        <v>37</v>
      </c>
      <c r="Q2" s="3" t="s">
        <v>38</v>
      </c>
      <c r="R2" s="3" t="s">
        <v>39</v>
      </c>
      <c r="S2" s="3" t="s">
        <v>40</v>
      </c>
      <c r="T2" s="3" t="s">
        <v>41</v>
      </c>
      <c r="U2" s="3" t="s">
        <v>42</v>
      </c>
      <c r="V2" s="3" t="s">
        <v>43</v>
      </c>
      <c r="W2" s="24" t="s">
        <v>44</v>
      </c>
      <c r="X2" s="3" t="s">
        <v>71</v>
      </c>
      <c r="Y2" s="70" t="s">
        <v>72</v>
      </c>
      <c r="Z2" s="26" t="s">
        <v>80</v>
      </c>
      <c r="AA2" s="1" t="s">
        <v>85</v>
      </c>
      <c r="AB2" s="123" t="s">
        <v>91</v>
      </c>
      <c r="AC2" s="123" t="s">
        <v>92</v>
      </c>
      <c r="AD2" s="123" t="s">
        <v>93</v>
      </c>
    </row>
    <row r="3" spans="1:30" s="14" customFormat="1" x14ac:dyDescent="0.2">
      <c r="A3" s="32" t="s">
        <v>6</v>
      </c>
      <c r="B3" s="50" t="s">
        <v>9</v>
      </c>
      <c r="C3" s="50" t="s">
        <v>46</v>
      </c>
      <c r="D3" s="101">
        <v>8</v>
      </c>
      <c r="E3" s="47">
        <v>10080</v>
      </c>
      <c r="F3" s="35">
        <v>500</v>
      </c>
      <c r="G3" s="44">
        <v>2</v>
      </c>
      <c r="H3" s="27">
        <v>4.5792138971968299</v>
      </c>
      <c r="I3" s="27">
        <v>4.1548419333487452</v>
      </c>
      <c r="J3" s="27">
        <v>5.0164801672854118</v>
      </c>
      <c r="K3" s="27">
        <v>1.9611134573561961</v>
      </c>
      <c r="L3" s="27">
        <v>5.5535169518823233</v>
      </c>
      <c r="M3" s="27">
        <v>4.2572805502035029</v>
      </c>
      <c r="N3" s="27">
        <v>4.792904094155821</v>
      </c>
      <c r="O3" s="27">
        <v>4.1110448546624951</v>
      </c>
      <c r="P3" s="27">
        <v>4.8512309119822659</v>
      </c>
      <c r="Q3" s="27">
        <v>4.0965657578494774</v>
      </c>
      <c r="R3" s="27">
        <v>4.3679365373522652</v>
      </c>
      <c r="S3" s="27">
        <v>4.5230361497050611</v>
      </c>
      <c r="T3" s="27">
        <v>3.7164204065111703</v>
      </c>
      <c r="U3" s="27">
        <v>4.3461690895847873</v>
      </c>
      <c r="V3" s="27">
        <v>4.899295207076662</v>
      </c>
      <c r="W3" s="27">
        <v>5.6369770229263194</v>
      </c>
      <c r="X3" s="59">
        <v>4.4290016868174584</v>
      </c>
      <c r="Y3" s="368">
        <v>4.4128376864456413</v>
      </c>
      <c r="Z3" s="372">
        <v>4.601</v>
      </c>
      <c r="AA3" s="359" t="s">
        <v>82</v>
      </c>
      <c r="AB3" s="126">
        <f>(3/16)*100</f>
        <v>18.75</v>
      </c>
      <c r="AC3" s="357">
        <f>(9/48)*100</f>
        <v>18.75</v>
      </c>
      <c r="AD3" s="358">
        <f>(46/144)*100</f>
        <v>31.944444444444443</v>
      </c>
    </row>
    <row r="4" spans="1:30" s="14" customFormat="1" x14ac:dyDescent="0.2">
      <c r="A4" s="37" t="s">
        <v>6</v>
      </c>
      <c r="B4" s="4" t="s">
        <v>9</v>
      </c>
      <c r="C4" s="4" t="s">
        <v>46</v>
      </c>
      <c r="D4" s="100">
        <v>8</v>
      </c>
      <c r="E4" s="7">
        <v>20080</v>
      </c>
      <c r="F4" s="12">
        <v>926</v>
      </c>
      <c r="G4" s="13">
        <v>4.5</v>
      </c>
      <c r="H4" s="28">
        <v>4.0823678688577214</v>
      </c>
      <c r="I4" s="28">
        <v>4.0204939426685096</v>
      </c>
      <c r="J4" s="28">
        <v>5.3206576513627191</v>
      </c>
      <c r="K4" s="28">
        <v>3.5327629074415823</v>
      </c>
      <c r="L4" s="28">
        <v>5.2660818954331452</v>
      </c>
      <c r="M4" s="28">
        <v>4.9175030865874731</v>
      </c>
      <c r="N4" s="28">
        <v>4.8490133301876499</v>
      </c>
      <c r="O4" s="28">
        <v>3.5798192845823618</v>
      </c>
      <c r="P4" s="28">
        <v>4.4260933611193032</v>
      </c>
      <c r="Q4" s="28">
        <v>4.3733427305160086</v>
      </c>
      <c r="R4" s="28">
        <v>3.4986073834099671</v>
      </c>
      <c r="S4" s="28">
        <v>4.7967730764388969</v>
      </c>
      <c r="T4" s="28">
        <v>4.0638973610850195</v>
      </c>
      <c r="U4" s="28">
        <v>4.4158785286260906</v>
      </c>
      <c r="V4" s="28">
        <v>5.323460281882566</v>
      </c>
      <c r="W4" s="28">
        <v>5.2786460504115196</v>
      </c>
      <c r="X4" s="59">
        <v>4.4840874212881578</v>
      </c>
      <c r="Y4" s="369"/>
      <c r="Z4" s="373"/>
      <c r="AA4" s="360"/>
      <c r="AB4" s="126">
        <f>(4/16)*100</f>
        <v>25</v>
      </c>
      <c r="AC4" s="357"/>
      <c r="AD4" s="358"/>
    </row>
    <row r="5" spans="1:30" s="14" customFormat="1" x14ac:dyDescent="0.2">
      <c r="A5" s="38" t="s">
        <v>6</v>
      </c>
      <c r="B5" s="52" t="s">
        <v>9</v>
      </c>
      <c r="C5" s="52" t="s">
        <v>46</v>
      </c>
      <c r="D5" s="102">
        <v>8</v>
      </c>
      <c r="E5" s="48">
        <v>30080</v>
      </c>
      <c r="F5" s="41">
        <v>3704</v>
      </c>
      <c r="G5" s="46">
        <v>13</v>
      </c>
      <c r="H5" s="29">
        <v>4.3384937977281437</v>
      </c>
      <c r="I5" s="29">
        <v>3.643415911398848</v>
      </c>
      <c r="J5" s="29">
        <v>4.9304484623876412</v>
      </c>
      <c r="K5" s="29">
        <v>3.9857333736839338</v>
      </c>
      <c r="L5" s="29">
        <v>3.7701966835858869</v>
      </c>
      <c r="M5" s="29">
        <v>5.156990408923714</v>
      </c>
      <c r="N5" s="29">
        <v>4.7595547301731846</v>
      </c>
      <c r="O5" s="29">
        <v>3.5948791066353314</v>
      </c>
      <c r="P5" s="29">
        <v>3.7712416938536348</v>
      </c>
      <c r="Q5" s="29">
        <v>4.5952909633606618</v>
      </c>
      <c r="R5" s="29">
        <v>3.4242825035928104</v>
      </c>
      <c r="S5" s="29">
        <v>4.9105449565739008</v>
      </c>
      <c r="T5" s="29">
        <v>3.8869018852674531</v>
      </c>
      <c r="U5" s="29">
        <v>4.3376247210509344</v>
      </c>
      <c r="V5" s="29">
        <v>4.7800091129075009</v>
      </c>
      <c r="W5" s="29">
        <v>5.3211749085773388</v>
      </c>
      <c r="X5" s="59">
        <v>4.3254239512313077</v>
      </c>
      <c r="Y5" s="370"/>
      <c r="Z5" s="373"/>
      <c r="AA5" s="360"/>
      <c r="AB5" s="126">
        <f>(2/16)*100</f>
        <v>12.5</v>
      </c>
      <c r="AC5" s="357"/>
      <c r="AD5" s="358"/>
    </row>
    <row r="6" spans="1:30" s="14" customFormat="1" x14ac:dyDescent="0.2">
      <c r="A6" s="32" t="s">
        <v>6</v>
      </c>
      <c r="B6" s="50" t="s">
        <v>12</v>
      </c>
      <c r="C6" s="50" t="s">
        <v>47</v>
      </c>
      <c r="D6" s="101">
        <v>24</v>
      </c>
      <c r="E6" s="47">
        <v>10240</v>
      </c>
      <c r="F6" s="35">
        <v>500</v>
      </c>
      <c r="G6" s="44">
        <v>2.5</v>
      </c>
      <c r="H6" s="27">
        <v>3.6287035542923913</v>
      </c>
      <c r="I6" s="27">
        <v>4.8589380893001772</v>
      </c>
      <c r="J6" s="27">
        <v>3.7958763976824423</v>
      </c>
      <c r="K6" s="27">
        <v>3.087625174283481</v>
      </c>
      <c r="L6" s="27">
        <v>5.5304569219902984</v>
      </c>
      <c r="M6" s="27">
        <v>6.2206341618479524</v>
      </c>
      <c r="N6" s="27">
        <v>5.7106057964246215</v>
      </c>
      <c r="O6" s="27">
        <v>4.8641208715378648</v>
      </c>
      <c r="P6" s="27">
        <v>3.9594654557976514</v>
      </c>
      <c r="Q6" s="27">
        <v>4.6338333488894614</v>
      </c>
      <c r="R6" s="27">
        <v>4.9378775487793289</v>
      </c>
      <c r="S6" s="27">
        <v>4.9869371125412698</v>
      </c>
      <c r="T6" s="27">
        <v>4.9249828018732664</v>
      </c>
      <c r="U6" s="27">
        <v>5.2277505926511791</v>
      </c>
      <c r="V6" s="27">
        <v>5.2810282846806365</v>
      </c>
      <c r="W6" s="27">
        <v>6.0634830401354618</v>
      </c>
      <c r="X6" s="59">
        <v>4.8570199470442175</v>
      </c>
      <c r="Y6" s="368">
        <v>4.567212970997943</v>
      </c>
      <c r="Z6" s="373"/>
      <c r="AA6" s="360"/>
      <c r="AB6" s="126">
        <f>(6/16)*100</f>
        <v>37.5</v>
      </c>
      <c r="AC6" s="357">
        <f>(14/48)*100</f>
        <v>29.166666666666668</v>
      </c>
      <c r="AD6" s="358"/>
    </row>
    <row r="7" spans="1:30" s="14" customFormat="1" x14ac:dyDescent="0.2">
      <c r="A7" s="37" t="s">
        <v>6</v>
      </c>
      <c r="B7" s="4" t="s">
        <v>12</v>
      </c>
      <c r="C7" s="4" t="s">
        <v>47</v>
      </c>
      <c r="D7" s="100">
        <v>24</v>
      </c>
      <c r="E7" s="7">
        <v>20240</v>
      </c>
      <c r="F7" s="12">
        <v>926</v>
      </c>
      <c r="G7" s="13">
        <v>6.5</v>
      </c>
      <c r="H7" s="28">
        <v>3.774333059054876</v>
      </c>
      <c r="I7" s="28">
        <v>4.9795487915453744</v>
      </c>
      <c r="J7" s="28">
        <v>4.3949595379468311</v>
      </c>
      <c r="K7" s="28">
        <v>2.5008330520944622</v>
      </c>
      <c r="L7" s="28">
        <v>4.8629228244889466</v>
      </c>
      <c r="M7" s="28">
        <v>5.902110178707936</v>
      </c>
      <c r="N7" s="28">
        <v>5.1097398589539091</v>
      </c>
      <c r="O7" s="28">
        <v>4.1598650110734869</v>
      </c>
      <c r="P7" s="28">
        <v>4.2755476389363585</v>
      </c>
      <c r="Q7" s="28">
        <v>4.0928413148388811</v>
      </c>
      <c r="R7" s="28">
        <v>4.0945663740180258</v>
      </c>
      <c r="S7" s="28">
        <v>5.0876868814153413</v>
      </c>
      <c r="T7" s="28">
        <v>3.9934306002016204</v>
      </c>
      <c r="U7" s="28">
        <v>4.8279390917894185</v>
      </c>
      <c r="V7" s="28">
        <v>5.287402355657961</v>
      </c>
      <c r="W7" s="28">
        <v>6.0692702839234451</v>
      </c>
      <c r="X7" s="59">
        <v>4.5883123034154298</v>
      </c>
      <c r="Y7" s="369"/>
      <c r="Z7" s="373"/>
      <c r="AA7" s="360"/>
      <c r="AB7" s="126">
        <f>(5/16)*100</f>
        <v>31.25</v>
      </c>
      <c r="AC7" s="357"/>
      <c r="AD7" s="358"/>
    </row>
    <row r="8" spans="1:30" s="14" customFormat="1" x14ac:dyDescent="0.2">
      <c r="A8" s="38" t="s">
        <v>6</v>
      </c>
      <c r="B8" s="52" t="s">
        <v>12</v>
      </c>
      <c r="C8" s="52" t="s">
        <v>47</v>
      </c>
      <c r="D8" s="102">
        <v>24</v>
      </c>
      <c r="E8" s="48">
        <v>30240</v>
      </c>
      <c r="F8" s="41">
        <v>3704</v>
      </c>
      <c r="G8" s="46">
        <v>15</v>
      </c>
      <c r="H8" s="29">
        <v>4.3718105797647233</v>
      </c>
      <c r="I8" s="29">
        <v>4.6901495673207085</v>
      </c>
      <c r="J8" s="29">
        <v>4.3849649854339621</v>
      </c>
      <c r="K8" s="29">
        <v>3.1235572353366448</v>
      </c>
      <c r="L8" s="29">
        <v>5.209032597801353</v>
      </c>
      <c r="M8" s="29">
        <v>5.8252412200157213</v>
      </c>
      <c r="N8" s="29">
        <v>2.9591579859997106</v>
      </c>
      <c r="O8" s="29">
        <v>3.2978816566516929</v>
      </c>
      <c r="P8" s="29">
        <v>3.65900350218336</v>
      </c>
      <c r="Q8" s="29">
        <v>4.006896358485827</v>
      </c>
      <c r="R8" s="29">
        <v>3.4027174995729359</v>
      </c>
      <c r="S8" s="29">
        <v>4.2798803806678221</v>
      </c>
      <c r="T8" s="29">
        <v>4.3763408013646261</v>
      </c>
      <c r="U8" s="29">
        <v>3.9879595036357207</v>
      </c>
      <c r="V8" s="29">
        <v>4.8767894200726447</v>
      </c>
      <c r="W8" s="29">
        <v>5.649523306239379</v>
      </c>
      <c r="X8" s="59">
        <v>4.2563066625341772</v>
      </c>
      <c r="Y8" s="370"/>
      <c r="Z8" s="373"/>
      <c r="AA8" s="360"/>
      <c r="AB8" s="126">
        <f>(3/16)*100</f>
        <v>18.75</v>
      </c>
      <c r="AC8" s="357"/>
      <c r="AD8" s="358"/>
    </row>
    <row r="9" spans="1:30" s="14" customFormat="1" x14ac:dyDescent="0.2">
      <c r="A9" s="32" t="s">
        <v>6</v>
      </c>
      <c r="B9" s="49" t="s">
        <v>13</v>
      </c>
      <c r="C9" s="50" t="s">
        <v>48</v>
      </c>
      <c r="D9" s="101">
        <v>40</v>
      </c>
      <c r="E9" s="47">
        <v>10400</v>
      </c>
      <c r="F9" s="35">
        <v>500</v>
      </c>
      <c r="G9" s="44">
        <v>3</v>
      </c>
      <c r="H9" s="27">
        <v>5.500017865277254</v>
      </c>
      <c r="I9" s="27">
        <v>4.8617297426104331</v>
      </c>
      <c r="J9" s="27">
        <v>5.6569863380318095</v>
      </c>
      <c r="K9" s="27">
        <v>3.8185543553417864</v>
      </c>
      <c r="L9" s="27">
        <v>5.3629244680989832</v>
      </c>
      <c r="M9" s="27">
        <v>6.0265829358475091</v>
      </c>
      <c r="N9" s="27">
        <v>4.6589220998534309</v>
      </c>
      <c r="O9" s="27">
        <v>4.8592470767208162</v>
      </c>
      <c r="P9" s="27">
        <v>5.085007424705891</v>
      </c>
      <c r="Q9" s="27">
        <v>3.6987871177458365</v>
      </c>
      <c r="R9" s="27">
        <v>4.5364684111686335</v>
      </c>
      <c r="S9" s="27">
        <v>5.0055306124137298</v>
      </c>
      <c r="T9" s="27">
        <v>5.1468395064664332</v>
      </c>
      <c r="U9" s="27">
        <v>4.9656942912963418</v>
      </c>
      <c r="V9" s="27">
        <v>4.6049890960006712</v>
      </c>
      <c r="W9" s="27">
        <v>5.3567543655561751</v>
      </c>
      <c r="X9" s="59">
        <v>4.9465647316959833</v>
      </c>
      <c r="Y9" s="368">
        <v>4.8240284057900054</v>
      </c>
      <c r="Z9" s="373"/>
      <c r="AA9" s="360"/>
      <c r="AB9" s="126">
        <f>(8/16)*100</f>
        <v>50</v>
      </c>
      <c r="AC9" s="357">
        <f>(23/48)*100</f>
        <v>47.916666666666671</v>
      </c>
      <c r="AD9" s="358"/>
    </row>
    <row r="10" spans="1:30" s="14" customFormat="1" x14ac:dyDescent="0.2">
      <c r="A10" s="37" t="s">
        <v>6</v>
      </c>
      <c r="B10" s="6" t="s">
        <v>13</v>
      </c>
      <c r="C10" s="4" t="s">
        <v>48</v>
      </c>
      <c r="D10" s="100">
        <v>40</v>
      </c>
      <c r="E10" s="7">
        <v>20400</v>
      </c>
      <c r="F10" s="12">
        <v>926</v>
      </c>
      <c r="G10" s="13">
        <v>6.5</v>
      </c>
      <c r="H10" s="28">
        <v>5.1923061771091792</v>
      </c>
      <c r="I10" s="28">
        <v>5.2043596081478452</v>
      </c>
      <c r="J10" s="28">
        <v>6.0235628984679543</v>
      </c>
      <c r="K10" s="28">
        <v>3.2790344885202862</v>
      </c>
      <c r="L10" s="28">
        <v>5.1213004284415637</v>
      </c>
      <c r="M10" s="28">
        <v>5.9374262803494435</v>
      </c>
      <c r="N10" s="28">
        <v>3.4392712792730848</v>
      </c>
      <c r="O10" s="28">
        <v>4.2642870857994586</v>
      </c>
      <c r="P10" s="28">
        <v>4.6566473386393916</v>
      </c>
      <c r="Q10" s="28">
        <v>3.273758985086987</v>
      </c>
      <c r="R10" s="28">
        <v>4.1276934800320655</v>
      </c>
      <c r="S10" s="28">
        <v>4.9597751314571479</v>
      </c>
      <c r="T10" s="28">
        <v>4.4730216484914331</v>
      </c>
      <c r="U10" s="28">
        <v>5.2353869899773615</v>
      </c>
      <c r="V10" s="28">
        <v>5.0122038323563265</v>
      </c>
      <c r="W10" s="28">
        <v>5.4649032666575836</v>
      </c>
      <c r="X10" s="59">
        <v>4.7290586824254444</v>
      </c>
      <c r="Y10" s="369"/>
      <c r="Z10" s="373"/>
      <c r="AA10" s="360"/>
      <c r="AB10" s="126">
        <f>(8/16)*100</f>
        <v>50</v>
      </c>
      <c r="AC10" s="357"/>
      <c r="AD10" s="358"/>
    </row>
    <row r="11" spans="1:30" s="14" customFormat="1" x14ac:dyDescent="0.2">
      <c r="A11" s="38" t="s">
        <v>6</v>
      </c>
      <c r="B11" s="51" t="s">
        <v>13</v>
      </c>
      <c r="C11" s="52" t="s">
        <v>48</v>
      </c>
      <c r="D11" s="102">
        <v>40</v>
      </c>
      <c r="E11" s="48">
        <v>30400</v>
      </c>
      <c r="F11" s="41">
        <v>3704</v>
      </c>
      <c r="G11" s="46">
        <v>13</v>
      </c>
      <c r="H11" s="29">
        <v>5.0996739835164462</v>
      </c>
      <c r="I11" s="29">
        <v>5.3552266296068876</v>
      </c>
      <c r="J11" s="29">
        <v>6.174070033736089</v>
      </c>
      <c r="K11" s="29">
        <v>3.371158855504881</v>
      </c>
      <c r="L11" s="29">
        <v>4.7344652745323836</v>
      </c>
      <c r="M11" s="29">
        <v>5.6590110438173724</v>
      </c>
      <c r="N11" s="29">
        <v>4.2315884841458686</v>
      </c>
      <c r="O11" s="29">
        <v>4.4898634619619449</v>
      </c>
      <c r="P11" s="29">
        <v>3.6440033541394286</v>
      </c>
      <c r="Q11" s="29">
        <v>4.234975333584174</v>
      </c>
      <c r="R11" s="29">
        <v>4.4325513341014089</v>
      </c>
      <c r="S11" s="29">
        <v>5.035389776163063</v>
      </c>
      <c r="T11" s="29">
        <v>4.7354318798616886</v>
      </c>
      <c r="U11" s="29">
        <v>5.3496203741095476</v>
      </c>
      <c r="V11" s="29">
        <v>4.9569773788935363</v>
      </c>
      <c r="W11" s="29">
        <v>5.2393816543026706</v>
      </c>
      <c r="X11" s="59">
        <v>4.7964618032485875</v>
      </c>
      <c r="Y11" s="370"/>
      <c r="Z11" s="374"/>
      <c r="AA11" s="361"/>
      <c r="AB11" s="126">
        <f>(7/16)*100</f>
        <v>43.75</v>
      </c>
      <c r="AC11" s="357"/>
      <c r="AD11" s="358"/>
    </row>
    <row r="12" spans="1:30" s="14" customFormat="1" x14ac:dyDescent="0.2">
      <c r="A12" s="32" t="s">
        <v>6</v>
      </c>
      <c r="B12" s="43" t="s">
        <v>50</v>
      </c>
      <c r="C12" s="43" t="s">
        <v>51</v>
      </c>
      <c r="D12" s="100">
        <v>53</v>
      </c>
      <c r="E12" s="47">
        <v>10530</v>
      </c>
      <c r="F12" s="35">
        <v>500</v>
      </c>
      <c r="G12" s="44">
        <v>5</v>
      </c>
      <c r="H12" s="27">
        <v>5.2253225840973174</v>
      </c>
      <c r="I12" s="27">
        <v>4.42530867792241</v>
      </c>
      <c r="J12" s="27">
        <v>5.1137608240188408</v>
      </c>
      <c r="K12" s="27">
        <v>4.5726206039951469</v>
      </c>
      <c r="L12" s="27">
        <v>4.7668824926559905</v>
      </c>
      <c r="M12" s="27">
        <v>5.4955621377049795</v>
      </c>
      <c r="N12" s="27">
        <v>5.0594054716159516</v>
      </c>
      <c r="O12" s="27">
        <v>3.8956407500286292</v>
      </c>
      <c r="P12" s="27">
        <v>4.3803522114014273</v>
      </c>
      <c r="Q12" s="27">
        <v>3.66030715789296</v>
      </c>
      <c r="R12" s="27">
        <v>4.1826275555762251</v>
      </c>
      <c r="S12" s="27">
        <v>4.5760356261617758</v>
      </c>
      <c r="T12" s="27">
        <v>4.5017601467771424</v>
      </c>
      <c r="U12" s="27">
        <v>4.7150368790155159</v>
      </c>
      <c r="V12" s="27">
        <v>5.2254999882486723</v>
      </c>
      <c r="W12" s="27">
        <v>5.4716591215350556</v>
      </c>
      <c r="X12" s="59">
        <v>4.7042363892905028</v>
      </c>
      <c r="Y12" s="368">
        <v>4.6272337599523148</v>
      </c>
      <c r="Z12" s="372">
        <v>4.6139999999999999</v>
      </c>
      <c r="AA12" s="359" t="s">
        <v>83</v>
      </c>
      <c r="AB12" s="126">
        <f>(6/16)*100</f>
        <v>37.5</v>
      </c>
      <c r="AC12" s="357">
        <f>(17/48)*100</f>
        <v>35.416666666666671</v>
      </c>
      <c r="AD12" s="358">
        <f>(31/96)*100</f>
        <v>32.291666666666671</v>
      </c>
    </row>
    <row r="13" spans="1:30" s="14" customFormat="1" x14ac:dyDescent="0.2">
      <c r="A13" s="37" t="s">
        <v>6</v>
      </c>
      <c r="B13" s="14" t="s">
        <v>50</v>
      </c>
      <c r="C13" s="14" t="s">
        <v>51</v>
      </c>
      <c r="D13" s="100">
        <v>53</v>
      </c>
      <c r="E13" s="7">
        <v>20530</v>
      </c>
      <c r="F13" s="12">
        <v>926</v>
      </c>
      <c r="G13" s="13">
        <v>6</v>
      </c>
      <c r="H13" s="28">
        <v>5.1224153357080171</v>
      </c>
      <c r="I13" s="28">
        <v>4.5683414317400741</v>
      </c>
      <c r="J13" s="28">
        <v>5.1929016292434849</v>
      </c>
      <c r="K13" s="28">
        <v>4.5183504807097288</v>
      </c>
      <c r="L13" s="28">
        <v>4.920494438533356</v>
      </c>
      <c r="M13" s="28">
        <v>5.2918901688746596</v>
      </c>
      <c r="N13" s="28">
        <v>3.7331911217280953</v>
      </c>
      <c r="O13" s="28">
        <v>3.3469800090055943</v>
      </c>
      <c r="P13" s="28">
        <v>3.5779138557384766</v>
      </c>
      <c r="Q13" s="28">
        <v>3.3296579736818424</v>
      </c>
      <c r="R13" s="28">
        <v>4.5725773602244608</v>
      </c>
      <c r="S13" s="28">
        <v>4.8272496858775762</v>
      </c>
      <c r="T13" s="28">
        <v>4.5882015297981518</v>
      </c>
      <c r="U13" s="28">
        <v>4.822869739925574</v>
      </c>
      <c r="V13" s="28">
        <v>5.0251963490769826</v>
      </c>
      <c r="W13" s="28">
        <v>5.6954071501431294</v>
      </c>
      <c r="X13" s="59">
        <v>4.5708523912505754</v>
      </c>
      <c r="Y13" s="369"/>
      <c r="Z13" s="373"/>
      <c r="AA13" s="360"/>
      <c r="AB13" s="126">
        <f>(5/16)*100</f>
        <v>31.25</v>
      </c>
      <c r="AC13" s="357"/>
      <c r="AD13" s="358"/>
    </row>
    <row r="14" spans="1:30" s="14" customFormat="1" x14ac:dyDescent="0.2">
      <c r="A14" s="38" t="s">
        <v>6</v>
      </c>
      <c r="B14" s="45" t="s">
        <v>50</v>
      </c>
      <c r="C14" s="45" t="s">
        <v>51</v>
      </c>
      <c r="D14" s="102">
        <v>53</v>
      </c>
      <c r="E14" s="48">
        <v>30530</v>
      </c>
      <c r="F14" s="41">
        <v>3704</v>
      </c>
      <c r="G14" s="46">
        <v>12</v>
      </c>
      <c r="H14" s="29">
        <v>5.288947833803749</v>
      </c>
      <c r="I14" s="29">
        <v>4.222922207583478</v>
      </c>
      <c r="J14" s="29">
        <v>4.8381330109951071</v>
      </c>
      <c r="K14" s="29">
        <v>4.0990930493912678</v>
      </c>
      <c r="L14" s="29">
        <v>3.7229173647781484</v>
      </c>
      <c r="M14" s="29">
        <v>5.2454843624432428</v>
      </c>
      <c r="N14" s="29">
        <v>5.3231714409011879</v>
      </c>
      <c r="O14" s="29">
        <v>3.7169226935465058</v>
      </c>
      <c r="P14" s="29">
        <v>4.7208420362689765</v>
      </c>
      <c r="Q14" s="29">
        <v>4.1693599166602811</v>
      </c>
      <c r="R14" s="29">
        <v>3.8411127282264266</v>
      </c>
      <c r="S14" s="29">
        <v>5.166936721764869</v>
      </c>
      <c r="T14" s="29">
        <v>4.2657563722918148</v>
      </c>
      <c r="U14" s="29">
        <v>4.4053225631855693</v>
      </c>
      <c r="V14" s="29">
        <v>5.0999111934868715</v>
      </c>
      <c r="W14" s="29">
        <v>5.5789664937264343</v>
      </c>
      <c r="X14" s="59">
        <v>4.6066124993158715</v>
      </c>
      <c r="Y14" s="370"/>
      <c r="Z14" s="373"/>
      <c r="AA14" s="360"/>
      <c r="AB14" s="126">
        <f>(6/16)*100</f>
        <v>37.5</v>
      </c>
      <c r="AC14" s="357"/>
      <c r="AD14" s="358"/>
    </row>
    <row r="15" spans="1:30" s="14" customFormat="1" x14ac:dyDescent="0.2">
      <c r="A15" s="32" t="s">
        <v>6</v>
      </c>
      <c r="B15" s="43" t="s">
        <v>49</v>
      </c>
      <c r="C15" s="43" t="s">
        <v>52</v>
      </c>
      <c r="D15" s="100">
        <v>56</v>
      </c>
      <c r="E15" s="47">
        <v>10560</v>
      </c>
      <c r="F15" s="35">
        <v>500</v>
      </c>
      <c r="G15" s="44">
        <v>2.5</v>
      </c>
      <c r="H15" s="27">
        <v>5.2841854469022209</v>
      </c>
      <c r="I15" s="27">
        <v>4.6460819763577019</v>
      </c>
      <c r="J15" s="27">
        <v>4.0278224774207949</v>
      </c>
      <c r="K15" s="27">
        <v>3.8618310920080199</v>
      </c>
      <c r="L15" s="27">
        <v>4.5192392060224886</v>
      </c>
      <c r="M15" s="27">
        <v>5.5251662179664036</v>
      </c>
      <c r="N15" s="27">
        <v>4.5137234364087311</v>
      </c>
      <c r="O15" s="27">
        <v>4.1832774554390086</v>
      </c>
      <c r="P15" s="27">
        <v>4.1090797094562213</v>
      </c>
      <c r="Q15" s="27">
        <v>4.8270358438476721</v>
      </c>
      <c r="R15" s="27">
        <v>4.7031736733904763</v>
      </c>
      <c r="S15" s="27">
        <v>4.7759163592890106</v>
      </c>
      <c r="T15" s="27">
        <v>3.8413255790265688</v>
      </c>
      <c r="U15" s="27">
        <v>4.1087162423883701</v>
      </c>
      <c r="V15" s="27">
        <v>5.6045527470788352</v>
      </c>
      <c r="W15" s="27">
        <v>5.6185933968023232</v>
      </c>
      <c r="X15" s="59">
        <v>4.6343575537378028</v>
      </c>
      <c r="Y15" s="368">
        <v>4.6005670993931238</v>
      </c>
      <c r="Z15" s="373"/>
      <c r="AA15" s="360"/>
      <c r="AB15" s="126">
        <f>(4/16)*100</f>
        <v>25</v>
      </c>
      <c r="AC15" s="357">
        <f>(14/48)*100</f>
        <v>29.166666666666668</v>
      </c>
      <c r="AD15" s="358"/>
    </row>
    <row r="16" spans="1:30" s="14" customFormat="1" x14ac:dyDescent="0.2">
      <c r="A16" s="37" t="s">
        <v>6</v>
      </c>
      <c r="B16" s="14" t="s">
        <v>49</v>
      </c>
      <c r="C16" s="14" t="s">
        <v>52</v>
      </c>
      <c r="D16" s="100">
        <v>56</v>
      </c>
      <c r="E16" s="12">
        <v>20560</v>
      </c>
      <c r="F16" s="12">
        <v>926</v>
      </c>
      <c r="G16" s="13">
        <v>5</v>
      </c>
      <c r="H16" s="28">
        <v>5.03459086650924</v>
      </c>
      <c r="I16" s="28">
        <v>4.7571670389786211</v>
      </c>
      <c r="J16" s="28">
        <v>4.4585082366086262</v>
      </c>
      <c r="K16" s="28">
        <v>3.972565849115024</v>
      </c>
      <c r="L16" s="28">
        <v>4.5556147184419249</v>
      </c>
      <c r="M16" s="28">
        <v>5.4242286017309462</v>
      </c>
      <c r="N16" s="28">
        <v>4.1258991821338444</v>
      </c>
      <c r="O16" s="28">
        <v>3.9166345699374938</v>
      </c>
      <c r="P16" s="28">
        <v>3.9807994194269254</v>
      </c>
      <c r="Q16" s="28">
        <v>4.7963317050149259</v>
      </c>
      <c r="R16" s="28">
        <v>4.7561340791234201</v>
      </c>
      <c r="S16" s="28">
        <v>4.5326000578340775</v>
      </c>
      <c r="T16" s="28">
        <v>4.3962664777404088</v>
      </c>
      <c r="U16" s="28">
        <v>3.6361007969663759</v>
      </c>
      <c r="V16" s="28">
        <v>5.6592628207123088</v>
      </c>
      <c r="W16" s="28">
        <v>5.3339704600364657</v>
      </c>
      <c r="X16" s="59">
        <v>4.5835421800194149</v>
      </c>
      <c r="Y16" s="369"/>
      <c r="Z16" s="373"/>
      <c r="AA16" s="360"/>
      <c r="AB16" s="126">
        <f>(4/16)*100</f>
        <v>25</v>
      </c>
      <c r="AC16" s="357"/>
      <c r="AD16" s="358"/>
    </row>
    <row r="17" spans="1:30" s="14" customFormat="1" x14ac:dyDescent="0.2">
      <c r="A17" s="38" t="s">
        <v>6</v>
      </c>
      <c r="B17" s="45" t="s">
        <v>49</v>
      </c>
      <c r="C17" s="45" t="s">
        <v>52</v>
      </c>
      <c r="D17" s="102">
        <v>56</v>
      </c>
      <c r="E17" s="41">
        <v>30560</v>
      </c>
      <c r="F17" s="41">
        <v>3704</v>
      </c>
      <c r="G17" s="46">
        <v>16</v>
      </c>
      <c r="H17" s="29">
        <v>5.0607329544202022</v>
      </c>
      <c r="I17" s="29">
        <v>4.6456972121740092</v>
      </c>
      <c r="J17" s="29">
        <v>5.2140186917024067</v>
      </c>
      <c r="K17" s="29">
        <v>4.4325195215132496</v>
      </c>
      <c r="L17" s="29">
        <v>4.896744023767047</v>
      </c>
      <c r="M17" s="29">
        <v>5.7098831670301555</v>
      </c>
      <c r="N17" s="29">
        <v>2.0783562720520479</v>
      </c>
      <c r="O17" s="29">
        <v>4.1859373671688305</v>
      </c>
      <c r="P17" s="29">
        <v>4.0895246440048583</v>
      </c>
      <c r="Q17" s="29">
        <v>5.1724314674107799</v>
      </c>
      <c r="R17" s="29">
        <v>4.1987812842433154</v>
      </c>
      <c r="S17" s="29">
        <v>4.5009155150481552</v>
      </c>
      <c r="T17" s="29">
        <v>4.3345670855018561</v>
      </c>
      <c r="U17" s="29">
        <v>4.0498767776138607</v>
      </c>
      <c r="V17" s="29">
        <v>5.4505162667632483</v>
      </c>
      <c r="W17" s="29">
        <v>5.3203227803404864</v>
      </c>
      <c r="X17" s="59">
        <v>4.5838015644221572</v>
      </c>
      <c r="Y17" s="370"/>
      <c r="Z17" s="374"/>
      <c r="AA17" s="361"/>
      <c r="AB17" s="126">
        <f>(6/16)*100</f>
        <v>37.5</v>
      </c>
      <c r="AC17" s="357"/>
      <c r="AD17" s="358"/>
    </row>
    <row r="18" spans="1:30" s="14" customFormat="1" x14ac:dyDescent="0.2">
      <c r="A18" s="32" t="s">
        <v>6</v>
      </c>
      <c r="B18" s="43" t="s">
        <v>16</v>
      </c>
      <c r="C18" s="43" t="s">
        <v>53</v>
      </c>
      <c r="D18" s="100">
        <v>64</v>
      </c>
      <c r="E18" s="35">
        <v>10640</v>
      </c>
      <c r="F18" s="35">
        <v>500</v>
      </c>
      <c r="G18" s="44">
        <v>2.5</v>
      </c>
      <c r="H18" s="27">
        <v>5.1256500950661765</v>
      </c>
      <c r="I18" s="27">
        <v>5.219608287461929</v>
      </c>
      <c r="J18" s="27">
        <v>6.4343242740781372</v>
      </c>
      <c r="K18" s="27">
        <v>5.992881673222759</v>
      </c>
      <c r="L18" s="27">
        <v>4.8715845017977939</v>
      </c>
      <c r="M18" s="27">
        <v>6.3940153574537977</v>
      </c>
      <c r="N18" s="27">
        <v>6.3991998739742577</v>
      </c>
      <c r="O18" s="27">
        <v>4.717255751720228</v>
      </c>
      <c r="P18" s="27">
        <v>4.4074719975004006</v>
      </c>
      <c r="Q18" s="27">
        <v>5.3371016039071231</v>
      </c>
      <c r="R18" s="27">
        <v>5.284692855291401</v>
      </c>
      <c r="S18" s="27">
        <v>6.3695141484626543</v>
      </c>
      <c r="T18" s="27">
        <v>5.088416083596405</v>
      </c>
      <c r="U18" s="27">
        <v>5.3823830156239776</v>
      </c>
      <c r="V18" s="27">
        <v>6.0632684298199733</v>
      </c>
      <c r="W18" s="27">
        <v>5.9273730035563625</v>
      </c>
      <c r="X18" s="60">
        <v>5.5634213095333358</v>
      </c>
      <c r="Y18" s="365">
        <v>5.3970969674319802</v>
      </c>
      <c r="Z18" s="353">
        <v>5.4340000000000002</v>
      </c>
      <c r="AA18" s="359" t="s">
        <v>88</v>
      </c>
      <c r="AB18" s="126">
        <f>(13/16)*100</f>
        <v>81.25</v>
      </c>
      <c r="AC18" s="357">
        <f>(33/48)*100</f>
        <v>68.75</v>
      </c>
      <c r="AD18" s="358">
        <f>(67/96)*100</f>
        <v>69.791666666666657</v>
      </c>
    </row>
    <row r="19" spans="1:30" s="14" customFormat="1" x14ac:dyDescent="0.2">
      <c r="A19" s="37" t="s">
        <v>6</v>
      </c>
      <c r="B19" s="14" t="s">
        <v>16</v>
      </c>
      <c r="C19" s="14" t="s">
        <v>53</v>
      </c>
      <c r="D19" s="100">
        <v>64</v>
      </c>
      <c r="E19" s="12">
        <v>20640</v>
      </c>
      <c r="F19" s="12">
        <v>926</v>
      </c>
      <c r="G19" s="13">
        <v>9.5</v>
      </c>
      <c r="H19" s="28">
        <v>5.2231265720325206</v>
      </c>
      <c r="I19" s="28">
        <v>5.5064262356777336</v>
      </c>
      <c r="J19" s="28">
        <v>6.1110446642061644</v>
      </c>
      <c r="K19" s="28">
        <v>5.6495121514047657</v>
      </c>
      <c r="L19" s="28">
        <v>5.4833881505278494</v>
      </c>
      <c r="M19" s="28">
        <v>5.8865029803999427</v>
      </c>
      <c r="N19" s="28">
        <v>5.5218119063196198</v>
      </c>
      <c r="O19" s="28">
        <v>4.9151322584655528</v>
      </c>
      <c r="P19" s="28">
        <v>4.5115576536093869</v>
      </c>
      <c r="Q19" s="28">
        <v>5.2387062958139792</v>
      </c>
      <c r="R19" s="28">
        <v>4.7896317625662936</v>
      </c>
      <c r="S19" s="28">
        <v>4.9835572705281708</v>
      </c>
      <c r="T19" s="28">
        <v>5.6694611853438186</v>
      </c>
      <c r="U19" s="28">
        <v>5.8231890697703754</v>
      </c>
      <c r="V19" s="28">
        <v>6.0449075131572583</v>
      </c>
      <c r="W19" s="28">
        <v>6.3604951370911822</v>
      </c>
      <c r="X19" s="60">
        <v>5.4824031754321627</v>
      </c>
      <c r="Y19" s="366"/>
      <c r="Z19" s="354"/>
      <c r="AA19" s="360"/>
      <c r="AB19" s="126">
        <f>(12/16)*100</f>
        <v>75</v>
      </c>
      <c r="AC19" s="357"/>
      <c r="AD19" s="358"/>
    </row>
    <row r="20" spans="1:30" s="14" customFormat="1" x14ac:dyDescent="0.2">
      <c r="A20" s="38" t="s">
        <v>6</v>
      </c>
      <c r="B20" s="45" t="s">
        <v>16</v>
      </c>
      <c r="C20" s="45" t="s">
        <v>53</v>
      </c>
      <c r="D20" s="102">
        <v>64</v>
      </c>
      <c r="E20" s="41">
        <v>30640</v>
      </c>
      <c r="F20" s="41">
        <v>3704</v>
      </c>
      <c r="G20" s="46">
        <v>19</v>
      </c>
      <c r="H20" s="29">
        <v>5.2474611364449721</v>
      </c>
      <c r="I20" s="29">
        <v>4.7938688614478675</v>
      </c>
      <c r="J20" s="29">
        <v>4.9947278332087546</v>
      </c>
      <c r="K20" s="29">
        <v>5.0965244297760455</v>
      </c>
      <c r="L20" s="29">
        <v>4.6862970293938337</v>
      </c>
      <c r="M20" s="29">
        <v>5.8119421150776427</v>
      </c>
      <c r="N20" s="29">
        <v>6.1750164548915611</v>
      </c>
      <c r="O20" s="29">
        <v>4.8774811814135903</v>
      </c>
      <c r="P20" s="29">
        <v>5.0174668816661034</v>
      </c>
      <c r="Q20" s="29">
        <v>4.992736981943322</v>
      </c>
      <c r="R20" s="29">
        <v>4.0043146807508645</v>
      </c>
      <c r="S20" s="29">
        <v>4.6790173765460388</v>
      </c>
      <c r="T20" s="29">
        <v>5.3036248675155884</v>
      </c>
      <c r="U20" s="29">
        <v>4.8710240943539489</v>
      </c>
      <c r="V20" s="29">
        <v>6.2901038248571313</v>
      </c>
      <c r="W20" s="29">
        <v>5.4858549279997799</v>
      </c>
      <c r="X20" s="60">
        <v>5.1454664173304403</v>
      </c>
      <c r="Y20" s="367"/>
      <c r="Z20" s="354"/>
      <c r="AA20" s="360"/>
      <c r="AB20" s="126">
        <f>(8/16)*100</f>
        <v>50</v>
      </c>
      <c r="AC20" s="357"/>
      <c r="AD20" s="358"/>
    </row>
    <row r="21" spans="1:30" s="14" customFormat="1" x14ac:dyDescent="0.2">
      <c r="A21" s="32" t="s">
        <v>19</v>
      </c>
      <c r="B21" s="43" t="s">
        <v>20</v>
      </c>
      <c r="C21" s="43" t="s">
        <v>54</v>
      </c>
      <c r="D21" s="100">
        <v>72</v>
      </c>
      <c r="E21" s="35">
        <v>10720</v>
      </c>
      <c r="F21" s="35">
        <v>500</v>
      </c>
      <c r="G21" s="44">
        <v>2</v>
      </c>
      <c r="H21" s="27">
        <v>5.8410248805651568</v>
      </c>
      <c r="I21" s="27">
        <v>4.7387154723604672</v>
      </c>
      <c r="J21" s="27">
        <v>6.7460332606575131</v>
      </c>
      <c r="K21" s="27">
        <v>5.6498541185777826</v>
      </c>
      <c r="L21" s="27">
        <v>6.3484171390124855</v>
      </c>
      <c r="M21" s="27">
        <v>6.1151514451845053</v>
      </c>
      <c r="N21" s="27">
        <v>5.0535053392561071</v>
      </c>
      <c r="O21" s="27">
        <v>4.664509892984344</v>
      </c>
      <c r="P21" s="27">
        <v>5.1047292524508174</v>
      </c>
      <c r="Q21" s="27">
        <v>5.3033815665018205</v>
      </c>
      <c r="R21" s="27">
        <v>4.2503596989846173</v>
      </c>
      <c r="S21" s="27">
        <v>5.8610289126293118</v>
      </c>
      <c r="T21" s="27">
        <v>4.3593159590221537</v>
      </c>
      <c r="U21" s="27">
        <v>5.4930474617614093</v>
      </c>
      <c r="V21" s="27">
        <v>5.4565564596788523</v>
      </c>
      <c r="W21" s="27">
        <v>5.1394833154682118</v>
      </c>
      <c r="X21" s="60">
        <v>5.3828196359434717</v>
      </c>
      <c r="Y21" s="365">
        <v>5.4705702060335284</v>
      </c>
      <c r="Z21" s="354"/>
      <c r="AA21" s="360"/>
      <c r="AB21" s="126">
        <f>(12/16)*100</f>
        <v>75</v>
      </c>
      <c r="AC21" s="357">
        <f>(34/48)*100</f>
        <v>70.833333333333343</v>
      </c>
      <c r="AD21" s="358"/>
    </row>
    <row r="22" spans="1:30" s="14" customFormat="1" x14ac:dyDescent="0.2">
      <c r="A22" s="37" t="s">
        <v>19</v>
      </c>
      <c r="B22" s="14" t="s">
        <v>20</v>
      </c>
      <c r="C22" s="14" t="s">
        <v>54</v>
      </c>
      <c r="D22" s="100">
        <v>72</v>
      </c>
      <c r="E22" s="12">
        <v>20720</v>
      </c>
      <c r="F22" s="12">
        <v>926</v>
      </c>
      <c r="G22" s="13">
        <v>3.5</v>
      </c>
      <c r="H22" s="28">
        <v>5.7640644212354726</v>
      </c>
      <c r="I22" s="28">
        <v>4.8134584653955006</v>
      </c>
      <c r="J22" s="28">
        <v>6.5997357044399223</v>
      </c>
      <c r="K22" s="28">
        <v>5.6934280314160226</v>
      </c>
      <c r="L22" s="28">
        <v>6.226114574038454</v>
      </c>
      <c r="M22" s="28">
        <v>6.3907770179800911</v>
      </c>
      <c r="N22" s="28">
        <v>5.3010497717674046</v>
      </c>
      <c r="O22" s="28">
        <v>4.3246490419984314</v>
      </c>
      <c r="P22" s="28">
        <v>4.8695426123776411</v>
      </c>
      <c r="Q22" s="28">
        <v>5.1037893991991403</v>
      </c>
      <c r="R22" s="28">
        <v>4.5801594888934218</v>
      </c>
      <c r="S22" s="28">
        <v>5.9032692145972812</v>
      </c>
      <c r="T22" s="28">
        <v>4.7534551107590408</v>
      </c>
      <c r="U22" s="28">
        <v>5.5285823742360298</v>
      </c>
      <c r="V22" s="28">
        <v>5.4021505696081782</v>
      </c>
      <c r="W22" s="28">
        <v>5.6766787013188704</v>
      </c>
      <c r="X22" s="60">
        <v>5.4331815312038056</v>
      </c>
      <c r="Y22" s="366"/>
      <c r="Z22" s="354"/>
      <c r="AA22" s="360"/>
      <c r="AB22" s="126">
        <f>(11/16)*100</f>
        <v>68.75</v>
      </c>
      <c r="AC22" s="357"/>
      <c r="AD22" s="358"/>
    </row>
    <row r="23" spans="1:30" x14ac:dyDescent="0.2">
      <c r="A23" s="38" t="s">
        <v>19</v>
      </c>
      <c r="B23" s="45" t="s">
        <v>20</v>
      </c>
      <c r="C23" s="45" t="s">
        <v>54</v>
      </c>
      <c r="D23" s="102">
        <v>72</v>
      </c>
      <c r="E23" s="41">
        <v>30720</v>
      </c>
      <c r="F23" s="41">
        <v>3704</v>
      </c>
      <c r="G23" s="46">
        <v>13.5</v>
      </c>
      <c r="H23" s="29">
        <v>5.845329947449815</v>
      </c>
      <c r="I23" s="29">
        <v>4.8750294189257222</v>
      </c>
      <c r="J23" s="29">
        <v>7.0640246216390663</v>
      </c>
      <c r="K23" s="29">
        <v>5.9052213788813406</v>
      </c>
      <c r="L23" s="29">
        <v>6.7026606648769844</v>
      </c>
      <c r="M23" s="29">
        <v>6.5116959424845602</v>
      </c>
      <c r="N23" s="29">
        <v>5.6308774436134366</v>
      </c>
      <c r="O23" s="29">
        <v>4.795915627131432</v>
      </c>
      <c r="P23" s="29">
        <v>4.165151652994683</v>
      </c>
      <c r="Q23" s="29">
        <v>5.5580050215177543</v>
      </c>
      <c r="R23" s="29">
        <v>4.8343166820771062</v>
      </c>
      <c r="S23" s="29">
        <v>5.7647140234046264</v>
      </c>
      <c r="T23" s="29">
        <v>4.5202315040041317</v>
      </c>
      <c r="U23" s="29">
        <v>5.9289560457749317</v>
      </c>
      <c r="V23" s="29">
        <v>5.8673465291286089</v>
      </c>
      <c r="W23" s="29">
        <v>5.5618747113486879</v>
      </c>
      <c r="X23" s="60">
        <v>5.5957094509533052</v>
      </c>
      <c r="Y23" s="367"/>
      <c r="Z23" s="355"/>
      <c r="AA23" s="361"/>
      <c r="AB23" s="126">
        <f>(11/16)*100</f>
        <v>68.75</v>
      </c>
      <c r="AC23" s="357"/>
      <c r="AD23" s="358"/>
    </row>
    <row r="24" spans="1:30" ht="12.75" customHeight="1" x14ac:dyDescent="0.2">
      <c r="A24" s="32" t="s">
        <v>19</v>
      </c>
      <c r="B24" s="33" t="s">
        <v>24</v>
      </c>
      <c r="C24" s="33" t="s">
        <v>25</v>
      </c>
      <c r="D24" s="100">
        <v>601</v>
      </c>
      <c r="E24" s="34">
        <v>16010</v>
      </c>
      <c r="F24" s="35">
        <v>500</v>
      </c>
      <c r="G24" s="36">
        <v>5</v>
      </c>
      <c r="H24" s="27">
        <v>5.9620276288494898</v>
      </c>
      <c r="I24" s="27">
        <v>7.5113959848591705</v>
      </c>
      <c r="J24" s="27">
        <v>7.1080479448700276</v>
      </c>
      <c r="K24" s="27">
        <v>5.9149586775810299</v>
      </c>
      <c r="L24" s="27">
        <v>6.5210565615202967</v>
      </c>
      <c r="M24" s="27">
        <v>6.315465068074781</v>
      </c>
      <c r="N24" s="27">
        <v>5.7162955353017084</v>
      </c>
      <c r="O24" s="27">
        <v>4.8405016437841093</v>
      </c>
      <c r="P24" s="27">
        <v>5.5250850337466808</v>
      </c>
      <c r="Q24" s="27">
        <v>6.1488838130664352</v>
      </c>
      <c r="R24" s="27">
        <v>5.6422980245305201</v>
      </c>
      <c r="S24" s="27">
        <v>5.3929952814863684</v>
      </c>
      <c r="T24" s="27">
        <v>5.2379542803743204</v>
      </c>
      <c r="U24" s="27">
        <v>6.9350884025266568</v>
      </c>
      <c r="V24" s="27">
        <v>5.6728961581848862</v>
      </c>
      <c r="W24" s="27">
        <v>5.4375733844207144</v>
      </c>
      <c r="X24" s="60">
        <v>5.9926577139485744</v>
      </c>
      <c r="Y24" s="365">
        <v>5.9341214878501978</v>
      </c>
      <c r="Z24" s="356">
        <v>5.9340000000000002</v>
      </c>
      <c r="AA24" s="362" t="s">
        <v>87</v>
      </c>
      <c r="AB24" s="126">
        <f>(15/16)*100</f>
        <v>93.75</v>
      </c>
      <c r="AC24" s="357">
        <f>(43/48)*100</f>
        <v>89.583333333333343</v>
      </c>
      <c r="AD24" s="358">
        <f>(43/48)*100</f>
        <v>89.583333333333343</v>
      </c>
    </row>
    <row r="25" spans="1:30" ht="12.75" customHeight="1" x14ac:dyDescent="0.2">
      <c r="A25" s="37" t="s">
        <v>19</v>
      </c>
      <c r="B25" s="15" t="s">
        <v>24</v>
      </c>
      <c r="C25" s="15" t="s">
        <v>25</v>
      </c>
      <c r="D25" s="100">
        <v>601</v>
      </c>
      <c r="E25" s="11">
        <v>26010</v>
      </c>
      <c r="F25" s="12">
        <v>926</v>
      </c>
      <c r="G25" s="9">
        <v>16</v>
      </c>
      <c r="H25" s="28">
        <v>5.4403962838670097</v>
      </c>
      <c r="I25" s="28">
        <v>8.0581850550307266</v>
      </c>
      <c r="J25" s="28">
        <v>7.2198490690401584</v>
      </c>
      <c r="K25" s="28">
        <v>5.5009413345148834</v>
      </c>
      <c r="L25" s="28">
        <v>6.9440251634057626</v>
      </c>
      <c r="M25" s="28">
        <v>6.4561524253544915</v>
      </c>
      <c r="N25" s="28">
        <v>5.635081179843648</v>
      </c>
      <c r="O25" s="28">
        <v>5.3839862861482679</v>
      </c>
      <c r="P25" s="28">
        <v>5.2275361694932565</v>
      </c>
      <c r="Q25" s="28">
        <v>5.8669035381119654</v>
      </c>
      <c r="R25" s="28">
        <v>5.8574369264357165</v>
      </c>
      <c r="S25" s="28">
        <v>5.2638771607484847</v>
      </c>
      <c r="T25" s="28">
        <v>5.6221625000299813</v>
      </c>
      <c r="U25" s="28">
        <v>6.8771927873836187</v>
      </c>
      <c r="V25" s="28">
        <v>5.9272732882188652</v>
      </c>
      <c r="W25" s="28">
        <v>5.6113331219311107</v>
      </c>
      <c r="X25" s="98">
        <v>6.0557707680973714</v>
      </c>
      <c r="Y25" s="366"/>
      <c r="Z25" s="356"/>
      <c r="AA25" s="363"/>
      <c r="AB25" s="126">
        <f>(16/16)*100</f>
        <v>100</v>
      </c>
      <c r="AC25" s="357"/>
      <c r="AD25" s="358"/>
    </row>
    <row r="26" spans="1:30" ht="12.75" customHeight="1" x14ac:dyDescent="0.2">
      <c r="A26" s="38" t="s">
        <v>19</v>
      </c>
      <c r="B26" s="39" t="s">
        <v>24</v>
      </c>
      <c r="C26" s="39" t="s">
        <v>25</v>
      </c>
      <c r="D26" s="102">
        <v>601</v>
      </c>
      <c r="E26" s="40">
        <v>36010</v>
      </c>
      <c r="F26" s="41">
        <v>3704</v>
      </c>
      <c r="G26" s="42">
        <v>27</v>
      </c>
      <c r="H26" s="29">
        <v>5.6039102605237314</v>
      </c>
      <c r="I26" s="29">
        <v>8.217171882154771</v>
      </c>
      <c r="J26" s="29">
        <v>6.4207648641407724</v>
      </c>
      <c r="K26" s="29">
        <v>6.1314772841287493</v>
      </c>
      <c r="L26" s="29">
        <v>6.5574943536946613</v>
      </c>
      <c r="M26" s="29">
        <v>5.933151605217752</v>
      </c>
      <c r="N26" s="29">
        <v>6.3559811903062204</v>
      </c>
      <c r="O26" s="29">
        <v>4.6410339863836896</v>
      </c>
      <c r="P26" s="29">
        <v>4.7354214849485547</v>
      </c>
      <c r="Q26" s="29">
        <v>5.4657134268505638</v>
      </c>
      <c r="R26" s="29">
        <v>5.9922286148204407</v>
      </c>
      <c r="S26" s="29">
        <v>4.2099095831397326</v>
      </c>
      <c r="T26" s="29">
        <v>5.6547076280862152</v>
      </c>
      <c r="U26" s="29">
        <v>5.5829529429142974</v>
      </c>
      <c r="V26" s="29">
        <v>4.9967853776819879</v>
      </c>
      <c r="W26" s="29">
        <v>5.5642712190823316</v>
      </c>
      <c r="X26" s="60">
        <v>5.7539359815046538</v>
      </c>
      <c r="Y26" s="367"/>
      <c r="Z26" s="356"/>
      <c r="AA26" s="364"/>
      <c r="AB26" s="126">
        <f>(12/16)*100</f>
        <v>75</v>
      </c>
      <c r="AC26" s="357"/>
      <c r="AD26" s="358"/>
    </row>
    <row r="27" spans="1:30" ht="25.5" customHeight="1" x14ac:dyDescent="0.2">
      <c r="D27" s="100"/>
      <c r="Y27" s="128"/>
      <c r="Z27" s="352" t="s">
        <v>86</v>
      </c>
      <c r="AA27" s="352"/>
      <c r="AB27" s="352"/>
      <c r="AC27" s="352"/>
      <c r="AD27" s="352"/>
    </row>
    <row r="28" spans="1:30" x14ac:dyDescent="0.2">
      <c r="D28" s="100"/>
    </row>
    <row r="29" spans="1:30" x14ac:dyDescent="0.2">
      <c r="D29" s="100"/>
      <c r="W29" s="125"/>
    </row>
    <row r="30" spans="1:30" x14ac:dyDescent="0.2">
      <c r="W30" s="125"/>
    </row>
    <row r="31" spans="1:30" x14ac:dyDescent="0.2">
      <c r="W31" s="125"/>
    </row>
    <row r="32" spans="1:30" x14ac:dyDescent="0.2">
      <c r="W32" s="125"/>
    </row>
    <row r="33" spans="2:23" x14ac:dyDescent="0.2">
      <c r="B33" s="5"/>
      <c r="D33" s="100"/>
      <c r="W33" s="125"/>
    </row>
    <row r="34" spans="2:23" x14ac:dyDescent="0.2">
      <c r="B34" s="5"/>
      <c r="D34" s="100"/>
      <c r="W34" s="125"/>
    </row>
    <row r="35" spans="2:23" x14ac:dyDescent="0.2">
      <c r="B35" s="5"/>
      <c r="D35" s="100"/>
      <c r="W35" s="125"/>
    </row>
    <row r="36" spans="2:23" x14ac:dyDescent="0.2">
      <c r="B36" s="5"/>
      <c r="D36" s="100"/>
      <c r="W36" s="125"/>
    </row>
    <row r="37" spans="2:23" x14ac:dyDescent="0.2">
      <c r="B37" s="5"/>
      <c r="D37" s="100"/>
    </row>
    <row r="38" spans="2:23" x14ac:dyDescent="0.2">
      <c r="B38" s="5"/>
      <c r="D38" s="100"/>
      <c r="W38" s="125"/>
    </row>
    <row r="39" spans="2:23" x14ac:dyDescent="0.2">
      <c r="W39" s="125"/>
    </row>
    <row r="40" spans="2:23" x14ac:dyDescent="0.2">
      <c r="W40" s="125"/>
    </row>
  </sheetData>
  <mergeCells count="31">
    <mergeCell ref="Z12:Z17"/>
    <mergeCell ref="AD3:AD11"/>
    <mergeCell ref="AC15:AC17"/>
    <mergeCell ref="AD12:AD17"/>
    <mergeCell ref="AC12:AC14"/>
    <mergeCell ref="AA12:AA17"/>
    <mergeCell ref="AB1:AD1"/>
    <mergeCell ref="X1:Z1"/>
    <mergeCell ref="AC3:AC5"/>
    <mergeCell ref="AC6:AC8"/>
    <mergeCell ref="AA3:AA11"/>
    <mergeCell ref="AC9:AC11"/>
    <mergeCell ref="Z3:Z11"/>
    <mergeCell ref="Y24:Y26"/>
    <mergeCell ref="Y3:Y5"/>
    <mergeCell ref="Y6:Y8"/>
    <mergeCell ref="Y9:Y11"/>
    <mergeCell ref="Y12:Y14"/>
    <mergeCell ref="Y18:Y20"/>
    <mergeCell ref="Y15:Y17"/>
    <mergeCell ref="Y21:Y23"/>
    <mergeCell ref="Z27:AD27"/>
    <mergeCell ref="Z18:Z23"/>
    <mergeCell ref="Z24:Z26"/>
    <mergeCell ref="AC24:AC26"/>
    <mergeCell ref="AC18:AC20"/>
    <mergeCell ref="AC21:AC23"/>
    <mergeCell ref="AD24:AD26"/>
    <mergeCell ref="AA18:AA23"/>
    <mergeCell ref="AA24:AA26"/>
    <mergeCell ref="AD18:AD23"/>
  </mergeCells>
  <phoneticPr fontId="4"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40"/>
  <sheetViews>
    <sheetView topLeftCell="R1" workbookViewId="0">
      <selection activeCell="Z27" sqref="Z27:AD27"/>
    </sheetView>
  </sheetViews>
  <sheetFormatPr defaultRowHeight="12.75" x14ac:dyDescent="0.2"/>
  <cols>
    <col min="1" max="1" width="5.7109375" style="12" customWidth="1"/>
    <col min="2" max="2" width="22.85546875" style="15" bestFit="1" customWidth="1"/>
    <col min="3" max="3" width="38" style="15" bestFit="1" customWidth="1"/>
    <col min="4" max="4" width="10.42578125" style="15" customWidth="1"/>
    <col min="5" max="5" width="16.28515625" style="12" customWidth="1"/>
    <col min="6" max="6" width="14.140625" style="15" customWidth="1"/>
    <col min="7" max="7" width="11.28515625" style="15" bestFit="1" customWidth="1"/>
    <col min="8" max="18" width="9.140625" style="15"/>
    <col min="19" max="19" width="11.28515625" style="15" customWidth="1"/>
    <col min="20" max="20" width="11.7109375" style="15" customWidth="1"/>
    <col min="21" max="21" width="9.140625" style="15"/>
    <col min="22" max="22" width="10.5703125" style="15" customWidth="1"/>
    <col min="23" max="23" width="10.7109375" style="15" customWidth="1"/>
    <col min="24" max="24" width="15" style="15" customWidth="1"/>
    <col min="25" max="25" width="13.5703125" customWidth="1"/>
    <col min="26" max="26" width="15.28515625" style="15" bestFit="1" customWidth="1"/>
    <col min="27" max="27" width="17.7109375" style="15" customWidth="1"/>
    <col min="28" max="30" width="15.5703125" style="15" customWidth="1"/>
    <col min="31" max="16384" width="9.140625" style="15"/>
  </cols>
  <sheetData>
    <row r="1" spans="1:30" ht="27" customHeight="1" x14ac:dyDescent="0.2">
      <c r="X1" s="371" t="s">
        <v>90</v>
      </c>
      <c r="Y1" s="371"/>
      <c r="Z1" s="371"/>
      <c r="AB1" s="371" t="s">
        <v>94</v>
      </c>
      <c r="AC1" s="371"/>
      <c r="AD1" s="371"/>
    </row>
    <row r="2" spans="1:30" s="10" customFormat="1" ht="42" customHeight="1" x14ac:dyDescent="0.2">
      <c r="A2" s="1" t="s">
        <v>0</v>
      </c>
      <c r="B2" s="2" t="s">
        <v>1</v>
      </c>
      <c r="C2" s="1" t="s">
        <v>2</v>
      </c>
      <c r="D2" s="3" t="s">
        <v>89</v>
      </c>
      <c r="E2" s="3" t="s">
        <v>3</v>
      </c>
      <c r="F2" s="1" t="s">
        <v>4</v>
      </c>
      <c r="G2" s="1" t="s">
        <v>5</v>
      </c>
      <c r="H2" s="3" t="s">
        <v>28</v>
      </c>
      <c r="I2" s="3" t="s">
        <v>29</v>
      </c>
      <c r="J2" s="3" t="s">
        <v>30</v>
      </c>
      <c r="K2" s="3" t="s">
        <v>31</v>
      </c>
      <c r="L2" s="3" t="s">
        <v>45</v>
      </c>
      <c r="M2" s="3" t="s">
        <v>35</v>
      </c>
      <c r="N2" s="3" t="s">
        <v>36</v>
      </c>
      <c r="O2" s="3" t="s">
        <v>34</v>
      </c>
      <c r="P2" s="3" t="s">
        <v>37</v>
      </c>
      <c r="Q2" s="3" t="s">
        <v>38</v>
      </c>
      <c r="R2" s="3" t="s">
        <v>39</v>
      </c>
      <c r="S2" s="3" t="s">
        <v>40</v>
      </c>
      <c r="T2" s="3" t="s">
        <v>41</v>
      </c>
      <c r="U2" s="3" t="s">
        <v>42</v>
      </c>
      <c r="V2" s="3" t="s">
        <v>43</v>
      </c>
      <c r="W2" s="24" t="s">
        <v>44</v>
      </c>
      <c r="X2" s="25" t="s">
        <v>71</v>
      </c>
      <c r="Y2" s="70" t="s">
        <v>72</v>
      </c>
      <c r="Z2" s="26" t="s">
        <v>80</v>
      </c>
      <c r="AA2" s="1" t="s">
        <v>85</v>
      </c>
      <c r="AB2" s="123" t="s">
        <v>91</v>
      </c>
      <c r="AC2" s="123" t="s">
        <v>92</v>
      </c>
      <c r="AD2" s="123" t="s">
        <v>93</v>
      </c>
    </row>
    <row r="3" spans="1:30" s="14" customFormat="1" x14ac:dyDescent="0.2">
      <c r="A3" s="32" t="s">
        <v>6</v>
      </c>
      <c r="B3" s="50" t="s">
        <v>9</v>
      </c>
      <c r="C3" s="50" t="s">
        <v>46</v>
      </c>
      <c r="D3" s="101">
        <v>8</v>
      </c>
      <c r="E3" s="47">
        <v>10080</v>
      </c>
      <c r="F3" s="35">
        <v>500</v>
      </c>
      <c r="G3" s="44">
        <v>2</v>
      </c>
      <c r="H3" s="71">
        <v>5.1041544543557418</v>
      </c>
      <c r="I3" s="71">
        <v>3.5200257426739845</v>
      </c>
      <c r="J3" s="71">
        <v>4.3332434385797143</v>
      </c>
      <c r="K3" s="71">
        <v>3.6334154495613422</v>
      </c>
      <c r="L3" s="71">
        <v>3.7426362773199195</v>
      </c>
      <c r="M3" s="71">
        <v>3.8443368633505148</v>
      </c>
      <c r="N3" s="71">
        <v>3.8919518375040538</v>
      </c>
      <c r="O3" s="71">
        <v>5.9451498619229026</v>
      </c>
      <c r="P3" s="71">
        <v>4.6866303701257799</v>
      </c>
      <c r="Q3" s="71">
        <v>4.2566087435320945</v>
      </c>
      <c r="R3" s="71">
        <v>5.4669432520140049</v>
      </c>
      <c r="S3" s="71">
        <v>4.0322002356656936</v>
      </c>
      <c r="T3" s="71">
        <v>5.1296827332895516</v>
      </c>
      <c r="U3" s="71">
        <v>3.6672649340665853</v>
      </c>
      <c r="V3" s="71">
        <v>4.9003537867383509</v>
      </c>
      <c r="W3" s="71">
        <v>5.2794019854730871</v>
      </c>
      <c r="X3" s="59">
        <v>4.4646249978858332</v>
      </c>
      <c r="Y3" s="375">
        <f>AVERAGE(H3:X5)</f>
        <v>4.2387334968811512</v>
      </c>
      <c r="Z3" s="372">
        <v>4.37</v>
      </c>
      <c r="AA3" s="359" t="s">
        <v>82</v>
      </c>
      <c r="AB3" s="126">
        <f>(5/16)*100</f>
        <v>31.25</v>
      </c>
      <c r="AC3" s="357">
        <f>(10/48)*100</f>
        <v>20.833333333333336</v>
      </c>
      <c r="AD3" s="358">
        <f>(33/144)*100</f>
        <v>22.916666666666664</v>
      </c>
    </row>
    <row r="4" spans="1:30" s="14" customFormat="1" x14ac:dyDescent="0.2">
      <c r="A4" s="37" t="s">
        <v>6</v>
      </c>
      <c r="B4" s="4" t="s">
        <v>9</v>
      </c>
      <c r="C4" s="4" t="s">
        <v>46</v>
      </c>
      <c r="D4" s="100">
        <v>8</v>
      </c>
      <c r="E4" s="7">
        <v>20080</v>
      </c>
      <c r="F4" s="12">
        <v>926</v>
      </c>
      <c r="G4" s="13">
        <v>4.5</v>
      </c>
      <c r="H4" s="72">
        <v>5.0546062326570071</v>
      </c>
      <c r="I4" s="72">
        <v>3.2969084174022427</v>
      </c>
      <c r="J4" s="72">
        <v>4.3629430954783555</v>
      </c>
      <c r="K4" s="72">
        <v>4.063746367146539</v>
      </c>
      <c r="L4" s="72">
        <v>4.2244329917856778</v>
      </c>
      <c r="M4" s="72">
        <v>4.1562407104555019</v>
      </c>
      <c r="N4" s="72">
        <v>3.161426863703547</v>
      </c>
      <c r="O4" s="72">
        <v>6.0076117255745176</v>
      </c>
      <c r="P4" s="72">
        <v>4.2878647952701971</v>
      </c>
      <c r="Q4" s="72">
        <v>4.61885628826077</v>
      </c>
      <c r="R4" s="72">
        <v>5.3777282907596771</v>
      </c>
      <c r="S4" s="72">
        <v>4.1275543571661633</v>
      </c>
      <c r="T4" s="72">
        <v>5.0574651850234558</v>
      </c>
      <c r="U4" s="72">
        <v>3.1600802588634234</v>
      </c>
      <c r="V4" s="72">
        <v>4.7036263026161551</v>
      </c>
      <c r="W4" s="72">
        <v>5.0835550656307857</v>
      </c>
      <c r="X4" s="59">
        <v>4.4215404342371256</v>
      </c>
      <c r="Y4" s="369"/>
      <c r="Z4" s="373"/>
      <c r="AA4" s="360"/>
      <c r="AB4" s="126">
        <f>(5/16)*100</f>
        <v>31.25</v>
      </c>
      <c r="AC4" s="357"/>
      <c r="AD4" s="358"/>
    </row>
    <row r="5" spans="1:30" s="14" customFormat="1" x14ac:dyDescent="0.2">
      <c r="A5" s="38" t="s">
        <v>6</v>
      </c>
      <c r="B5" s="52" t="s">
        <v>9</v>
      </c>
      <c r="C5" s="52" t="s">
        <v>46</v>
      </c>
      <c r="D5" s="102">
        <v>8</v>
      </c>
      <c r="E5" s="48">
        <v>30080</v>
      </c>
      <c r="F5" s="41">
        <v>3704</v>
      </c>
      <c r="G5" s="46">
        <v>13</v>
      </c>
      <c r="H5" s="73">
        <v>4.6028799582735038</v>
      </c>
      <c r="I5" s="73">
        <v>3.6113811625054844</v>
      </c>
      <c r="J5" s="73">
        <v>3.4919503307671924</v>
      </c>
      <c r="K5" s="73">
        <v>3.7394402907503399</v>
      </c>
      <c r="L5" s="73">
        <v>3.8243027352632359</v>
      </c>
      <c r="M5" s="73">
        <v>3.9630964514715203</v>
      </c>
      <c r="N5" s="73">
        <v>2.0910851161152419</v>
      </c>
      <c r="O5" s="73">
        <v>4.9741629366477671</v>
      </c>
      <c r="P5" s="73">
        <v>4.0940120764734456</v>
      </c>
      <c r="Q5" s="73">
        <v>3.7167602587713575</v>
      </c>
      <c r="R5" s="73">
        <v>3.8116398608993407</v>
      </c>
      <c r="S5" s="73">
        <v>2.2857571747027623</v>
      </c>
      <c r="T5" s="73">
        <v>4.5770396885956552</v>
      </c>
      <c r="U5" s="73">
        <v>3.9242048677457695</v>
      </c>
      <c r="V5" s="73">
        <v>4.2530647110663402</v>
      </c>
      <c r="W5" s="73">
        <v>4.3197833162789729</v>
      </c>
      <c r="X5" s="58">
        <v>3.8300350585204956</v>
      </c>
      <c r="Y5" s="370"/>
      <c r="Z5" s="373"/>
      <c r="AA5" s="360"/>
      <c r="AB5" s="126">
        <f>(0/16)*100</f>
        <v>0</v>
      </c>
      <c r="AC5" s="357"/>
      <c r="AD5" s="358"/>
    </row>
    <row r="6" spans="1:30" s="14" customFormat="1" x14ac:dyDescent="0.2">
      <c r="A6" s="32" t="s">
        <v>6</v>
      </c>
      <c r="B6" s="50" t="s">
        <v>12</v>
      </c>
      <c r="C6" s="50" t="s">
        <v>47</v>
      </c>
      <c r="D6" s="101">
        <v>24</v>
      </c>
      <c r="E6" s="47">
        <v>10240</v>
      </c>
      <c r="F6" s="35">
        <v>500</v>
      </c>
      <c r="G6" s="44">
        <v>2.5</v>
      </c>
      <c r="H6" s="71">
        <v>5.422731116566947</v>
      </c>
      <c r="I6" s="71">
        <v>4.1398843724438095</v>
      </c>
      <c r="J6" s="71">
        <v>4.4621250250389091</v>
      </c>
      <c r="K6" s="71">
        <v>3.877589355210429</v>
      </c>
      <c r="L6" s="71">
        <v>5.753776786549353</v>
      </c>
      <c r="M6" s="71">
        <v>4.0739326366662336</v>
      </c>
      <c r="N6" s="71">
        <v>4.5620224534018208</v>
      </c>
      <c r="O6" s="71">
        <v>6.0685400573677999</v>
      </c>
      <c r="P6" s="71">
        <v>5.6614872955941422</v>
      </c>
      <c r="Q6" s="71">
        <v>4.9505008958969352</v>
      </c>
      <c r="R6" s="71">
        <v>5.1268851696546456</v>
      </c>
      <c r="S6" s="71">
        <v>3.9094304696526772</v>
      </c>
      <c r="T6" s="71">
        <v>5.094071536484468</v>
      </c>
      <c r="U6" s="71">
        <v>4.6027600657342704</v>
      </c>
      <c r="V6" s="71">
        <v>4.8428353364812891</v>
      </c>
      <c r="W6" s="71">
        <v>4.6000142089357512</v>
      </c>
      <c r="X6" s="59">
        <v>4.8217866738549668</v>
      </c>
      <c r="Y6" s="375">
        <f>AVERAGE(H6:X8)</f>
        <v>4.4611002899830181</v>
      </c>
      <c r="Z6" s="373"/>
      <c r="AA6" s="360"/>
      <c r="AB6" s="126">
        <f>(6/16)*100</f>
        <v>37.5</v>
      </c>
      <c r="AC6" s="357">
        <f>(12/48)*100</f>
        <v>25</v>
      </c>
      <c r="AD6" s="358"/>
    </row>
    <row r="7" spans="1:30" s="14" customFormat="1" x14ac:dyDescent="0.2">
      <c r="A7" s="37" t="s">
        <v>6</v>
      </c>
      <c r="B7" s="4" t="s">
        <v>12</v>
      </c>
      <c r="C7" s="4" t="s">
        <v>47</v>
      </c>
      <c r="D7" s="100">
        <v>24</v>
      </c>
      <c r="E7" s="7">
        <v>20240</v>
      </c>
      <c r="F7" s="12">
        <v>926</v>
      </c>
      <c r="G7" s="13">
        <v>6.5</v>
      </c>
      <c r="H7" s="72">
        <v>5.2625369685747039</v>
      </c>
      <c r="I7" s="72">
        <v>3.9602178681998179</v>
      </c>
      <c r="J7" s="72">
        <v>4.4879805745411119</v>
      </c>
      <c r="K7" s="72">
        <v>4.4620162008539683</v>
      </c>
      <c r="L7" s="72">
        <v>5.6146847472132757</v>
      </c>
      <c r="M7" s="72">
        <v>3.7837205608759992</v>
      </c>
      <c r="N7" s="72">
        <v>4.0169535355835801</v>
      </c>
      <c r="O7" s="72">
        <v>3.6033161986094675</v>
      </c>
      <c r="P7" s="72">
        <v>5.7092889976920631</v>
      </c>
      <c r="Q7" s="72">
        <v>4.1477793953439139</v>
      </c>
      <c r="R7" s="72">
        <v>4.9556805548651131</v>
      </c>
      <c r="S7" s="72">
        <v>3.3086703124478749</v>
      </c>
      <c r="T7" s="72">
        <v>4.9563868059103644</v>
      </c>
      <c r="U7" s="72">
        <v>3.9875725171858329</v>
      </c>
      <c r="V7" s="72">
        <v>5.037315460146842</v>
      </c>
      <c r="W7" s="72">
        <v>5.1234409649464867</v>
      </c>
      <c r="X7" s="59">
        <v>4.5260976039369005</v>
      </c>
      <c r="Y7" s="369"/>
      <c r="Z7" s="373"/>
      <c r="AA7" s="360"/>
      <c r="AB7" s="126">
        <f>(5/16)*100</f>
        <v>31.25</v>
      </c>
      <c r="AC7" s="357"/>
      <c r="AD7" s="358"/>
    </row>
    <row r="8" spans="1:30" s="14" customFormat="1" x14ac:dyDescent="0.2">
      <c r="A8" s="38" t="s">
        <v>6</v>
      </c>
      <c r="B8" s="52" t="s">
        <v>12</v>
      </c>
      <c r="C8" s="52" t="s">
        <v>47</v>
      </c>
      <c r="D8" s="102">
        <v>24</v>
      </c>
      <c r="E8" s="48">
        <v>30240</v>
      </c>
      <c r="F8" s="41">
        <v>3704</v>
      </c>
      <c r="G8" s="46">
        <v>15</v>
      </c>
      <c r="H8" s="73">
        <v>4.86977053763162</v>
      </c>
      <c r="I8" s="73">
        <v>3.731011432214479</v>
      </c>
      <c r="J8" s="73">
        <v>3.508318736919398</v>
      </c>
      <c r="K8" s="73">
        <v>3.5676671326329985</v>
      </c>
      <c r="L8" s="73">
        <v>5.2928514597287784</v>
      </c>
      <c r="M8" s="73">
        <v>3.8429934245839643</v>
      </c>
      <c r="N8" s="73">
        <v>3.5117874254195312</v>
      </c>
      <c r="O8" s="73">
        <v>3.5806595564896044</v>
      </c>
      <c r="P8" s="73">
        <v>4.3246168696433509</v>
      </c>
      <c r="Q8" s="73">
        <v>4.5562676470227661</v>
      </c>
      <c r="R8" s="73">
        <v>4.6213574407328304</v>
      </c>
      <c r="S8" s="73">
        <v>2.4925255527750774</v>
      </c>
      <c r="T8" s="73">
        <v>4.9078420806501875</v>
      </c>
      <c r="U8" s="73">
        <v>2.9368209136609154</v>
      </c>
      <c r="V8" s="73">
        <v>4.4330115313124496</v>
      </c>
      <c r="W8" s="73">
        <v>4.3891637330970115</v>
      </c>
      <c r="X8" s="59">
        <v>4.0354165921571852</v>
      </c>
      <c r="Y8" s="370"/>
      <c r="Z8" s="373"/>
      <c r="AA8" s="360"/>
      <c r="AB8" s="126">
        <f>(1/16)*100</f>
        <v>6.25</v>
      </c>
      <c r="AC8" s="357"/>
      <c r="AD8" s="358"/>
    </row>
    <row r="9" spans="1:30" s="14" customFormat="1" x14ac:dyDescent="0.2">
      <c r="A9" s="32" t="s">
        <v>6</v>
      </c>
      <c r="B9" s="49" t="s">
        <v>13</v>
      </c>
      <c r="C9" s="50" t="s">
        <v>48</v>
      </c>
      <c r="D9" s="101">
        <v>40</v>
      </c>
      <c r="E9" s="47">
        <v>10400</v>
      </c>
      <c r="F9" s="35">
        <v>500</v>
      </c>
      <c r="G9" s="44">
        <v>3</v>
      </c>
      <c r="H9" s="71">
        <v>5.2225260395394351</v>
      </c>
      <c r="I9" s="71">
        <v>4.341230394317912</v>
      </c>
      <c r="J9" s="71">
        <v>4.6966738895753837</v>
      </c>
      <c r="K9" s="71">
        <v>2.961265361427706</v>
      </c>
      <c r="L9" s="71">
        <v>5.8872585547221306</v>
      </c>
      <c r="M9" s="71">
        <v>3.7230313381040276</v>
      </c>
      <c r="N9" s="71">
        <v>4.8787976827179911</v>
      </c>
      <c r="O9" s="71">
        <v>3.923861626066659</v>
      </c>
      <c r="P9" s="71">
        <v>5.7252834692785859</v>
      </c>
      <c r="Q9" s="71">
        <v>5.0834284739379978</v>
      </c>
      <c r="R9" s="71">
        <v>5.0874096517385441</v>
      </c>
      <c r="S9" s="71">
        <v>4.6090594198449439</v>
      </c>
      <c r="T9" s="71">
        <v>5.3101685445601268</v>
      </c>
      <c r="U9" s="71">
        <v>3.9683336520076615</v>
      </c>
      <c r="V9" s="71">
        <v>4.1978173358573292</v>
      </c>
      <c r="W9" s="71">
        <v>4.5762656914540436</v>
      </c>
      <c r="X9" s="59">
        <v>4.6370256953219045</v>
      </c>
      <c r="Y9" s="375">
        <f>AVERAGE(H9:X11)</f>
        <v>4.4032227128020596</v>
      </c>
      <c r="Z9" s="373"/>
      <c r="AA9" s="360"/>
      <c r="AB9" s="126">
        <f>(6/16)*100</f>
        <v>37.5</v>
      </c>
      <c r="AC9" s="357">
        <f>(11/48)*100</f>
        <v>22.916666666666664</v>
      </c>
      <c r="AD9" s="358"/>
    </row>
    <row r="10" spans="1:30" s="14" customFormat="1" x14ac:dyDescent="0.2">
      <c r="A10" s="37" t="s">
        <v>6</v>
      </c>
      <c r="B10" s="6" t="s">
        <v>13</v>
      </c>
      <c r="C10" s="4" t="s">
        <v>48</v>
      </c>
      <c r="D10" s="100">
        <v>40</v>
      </c>
      <c r="E10" s="7">
        <v>20400</v>
      </c>
      <c r="F10" s="12">
        <v>926</v>
      </c>
      <c r="G10" s="13">
        <v>6.5</v>
      </c>
      <c r="H10" s="72">
        <v>5.2957078964720363</v>
      </c>
      <c r="I10" s="72">
        <v>4.3072880141787087</v>
      </c>
      <c r="J10" s="72">
        <v>4.6216176619506504</v>
      </c>
      <c r="K10" s="72">
        <v>2.870694414496664</v>
      </c>
      <c r="L10" s="72">
        <v>5.7405574095890302</v>
      </c>
      <c r="M10" s="72">
        <v>3.6246116601876164</v>
      </c>
      <c r="N10" s="72">
        <v>4.2458234331912701</v>
      </c>
      <c r="O10" s="72">
        <v>3.7416931151778261</v>
      </c>
      <c r="P10" s="72">
        <v>4.1969462764216692</v>
      </c>
      <c r="Q10" s="72">
        <v>4.9404721708884267</v>
      </c>
      <c r="R10" s="72">
        <v>5.1033426279380274</v>
      </c>
      <c r="S10" s="72">
        <v>4.4059112796169089</v>
      </c>
      <c r="T10" s="72">
        <v>4.9839021773953043</v>
      </c>
      <c r="U10" s="72">
        <v>3.4549298478783519</v>
      </c>
      <c r="V10" s="72">
        <v>4.2234759932141133</v>
      </c>
      <c r="W10" s="72">
        <v>4.5717894811120043</v>
      </c>
      <c r="X10" s="59">
        <v>4.3955477162317882</v>
      </c>
      <c r="Y10" s="369"/>
      <c r="Z10" s="373"/>
      <c r="AA10" s="360"/>
      <c r="AB10" s="126">
        <f>(3/16)*100</f>
        <v>18.75</v>
      </c>
      <c r="AC10" s="357"/>
      <c r="AD10" s="358"/>
    </row>
    <row r="11" spans="1:30" s="14" customFormat="1" x14ac:dyDescent="0.2">
      <c r="A11" s="38" t="s">
        <v>6</v>
      </c>
      <c r="B11" s="51" t="s">
        <v>13</v>
      </c>
      <c r="C11" s="52" t="s">
        <v>48</v>
      </c>
      <c r="D11" s="102">
        <v>40</v>
      </c>
      <c r="E11" s="48">
        <v>30400</v>
      </c>
      <c r="F11" s="41">
        <v>3704</v>
      </c>
      <c r="G11" s="46">
        <v>13</v>
      </c>
      <c r="H11" s="73">
        <v>5.1272611235985366</v>
      </c>
      <c r="I11" s="73">
        <v>4.2317703697223781</v>
      </c>
      <c r="J11" s="73">
        <v>4.5440561844690341</v>
      </c>
      <c r="K11" s="73">
        <v>2.3656019731416267</v>
      </c>
      <c r="L11" s="73">
        <v>5.1701522541133134</v>
      </c>
      <c r="M11" s="73">
        <v>4.2078076878332977</v>
      </c>
      <c r="N11" s="73">
        <v>3.6134347077550442</v>
      </c>
      <c r="O11" s="73">
        <v>3.2994205583046186</v>
      </c>
      <c r="P11" s="73">
        <v>4.2511432017360873</v>
      </c>
      <c r="Q11" s="73">
        <v>4.8846340084350954</v>
      </c>
      <c r="R11" s="73">
        <v>4.5337209695275682</v>
      </c>
      <c r="S11" s="73">
        <v>3.0772981656136476</v>
      </c>
      <c r="T11" s="73">
        <v>4.22741972427945</v>
      </c>
      <c r="U11" s="73">
        <v>4.1563778280722365</v>
      </c>
      <c r="V11" s="73">
        <v>4.3177986093894489</v>
      </c>
      <c r="W11" s="73">
        <v>4.8256182636483871</v>
      </c>
      <c r="X11" s="59">
        <v>4.1770947268524852</v>
      </c>
      <c r="Y11" s="370"/>
      <c r="Z11" s="374"/>
      <c r="AA11" s="361"/>
      <c r="AB11" s="126">
        <f>(2/16)*100</f>
        <v>12.5</v>
      </c>
      <c r="AC11" s="357"/>
      <c r="AD11" s="358"/>
    </row>
    <row r="12" spans="1:30" s="14" customFormat="1" x14ac:dyDescent="0.2">
      <c r="A12" s="32" t="s">
        <v>6</v>
      </c>
      <c r="B12" s="43" t="s">
        <v>50</v>
      </c>
      <c r="C12" s="43" t="s">
        <v>51</v>
      </c>
      <c r="D12" s="100">
        <v>53</v>
      </c>
      <c r="E12" s="47">
        <v>10530</v>
      </c>
      <c r="F12" s="35">
        <v>500</v>
      </c>
      <c r="G12" s="44">
        <v>5</v>
      </c>
      <c r="H12" s="71">
        <v>5.3475679985944415</v>
      </c>
      <c r="I12" s="71">
        <v>4.3220804647250004</v>
      </c>
      <c r="J12" s="71">
        <v>4.8876353086444917</v>
      </c>
      <c r="K12" s="71">
        <v>3.2573050279429969</v>
      </c>
      <c r="L12" s="71">
        <v>5.3586180444804015</v>
      </c>
      <c r="M12" s="71">
        <v>4.2466464756692108</v>
      </c>
      <c r="N12" s="71">
        <v>3.6090216853388597</v>
      </c>
      <c r="O12" s="43"/>
      <c r="P12" s="71">
        <v>3.7795475648856476</v>
      </c>
      <c r="Q12" s="71">
        <v>4.5150460156983758</v>
      </c>
      <c r="R12" s="71">
        <v>4.640673192233602</v>
      </c>
      <c r="S12" s="71">
        <v>3.3030401358025414</v>
      </c>
      <c r="T12" s="71">
        <v>4.826422384247822</v>
      </c>
      <c r="U12" s="71">
        <v>4.0321923622710276</v>
      </c>
      <c r="V12" s="43"/>
      <c r="W12" s="71">
        <v>4.1439689353453524</v>
      </c>
      <c r="X12" s="59">
        <v>4.304983256848554</v>
      </c>
      <c r="Y12" s="375">
        <f>AVERAGE(H12:X14)</f>
        <v>4.2511466574630203</v>
      </c>
      <c r="Z12" s="372">
        <v>4.37</v>
      </c>
      <c r="AA12" s="359" t="s">
        <v>83</v>
      </c>
      <c r="AB12" s="126">
        <f>(2/14)*100</f>
        <v>14.285714285714285</v>
      </c>
      <c r="AC12" s="357">
        <f>(7/42)*100</f>
        <v>16.666666666666664</v>
      </c>
      <c r="AD12" s="358">
        <f>(14/90)*100</f>
        <v>15.555555555555555</v>
      </c>
    </row>
    <row r="13" spans="1:30" s="14" customFormat="1" x14ac:dyDescent="0.2">
      <c r="A13" s="37" t="s">
        <v>6</v>
      </c>
      <c r="B13" s="14" t="s">
        <v>50</v>
      </c>
      <c r="C13" s="14" t="s">
        <v>51</v>
      </c>
      <c r="D13" s="100">
        <v>53</v>
      </c>
      <c r="E13" s="7">
        <v>20530</v>
      </c>
      <c r="F13" s="12">
        <v>926</v>
      </c>
      <c r="G13" s="13">
        <v>6</v>
      </c>
      <c r="H13" s="72">
        <v>5.2702304014962866</v>
      </c>
      <c r="I13" s="72">
        <v>4.1558562112806454</v>
      </c>
      <c r="J13" s="72">
        <v>5.1463289787869879</v>
      </c>
      <c r="K13" s="72">
        <v>3.079617618643506</v>
      </c>
      <c r="L13" s="72">
        <v>5.5715201106667473</v>
      </c>
      <c r="M13" s="72">
        <v>4.304083915421665</v>
      </c>
      <c r="N13" s="72">
        <v>3.5159503754537154</v>
      </c>
      <c r="P13" s="72">
        <v>4.048677874998198</v>
      </c>
      <c r="Q13" s="72">
        <v>4.0636259241717738</v>
      </c>
      <c r="R13" s="72">
        <v>4.5061292328691511</v>
      </c>
      <c r="S13" s="72">
        <v>3.5316836280741515</v>
      </c>
      <c r="T13" s="72">
        <v>4.8324389198462807</v>
      </c>
      <c r="U13" s="72">
        <v>3.9125120425305457</v>
      </c>
      <c r="W13" s="72">
        <v>4.3725568970140811</v>
      </c>
      <c r="X13" s="59">
        <v>4.3079437236609808</v>
      </c>
      <c r="Y13" s="369"/>
      <c r="Z13" s="373"/>
      <c r="AA13" s="360"/>
      <c r="AB13" s="126">
        <f>(3/14)*100</f>
        <v>21.428571428571427</v>
      </c>
      <c r="AC13" s="357"/>
      <c r="AD13" s="358"/>
    </row>
    <row r="14" spans="1:30" s="14" customFormat="1" x14ac:dyDescent="0.2">
      <c r="A14" s="38" t="s">
        <v>6</v>
      </c>
      <c r="B14" s="45" t="s">
        <v>50</v>
      </c>
      <c r="C14" s="45" t="s">
        <v>51</v>
      </c>
      <c r="D14" s="102">
        <v>53</v>
      </c>
      <c r="E14" s="48">
        <v>30530</v>
      </c>
      <c r="F14" s="41">
        <v>3704</v>
      </c>
      <c r="G14" s="46">
        <v>12</v>
      </c>
      <c r="H14" s="73">
        <v>5.0922402781978136</v>
      </c>
      <c r="I14" s="73">
        <v>4.3207104500052296</v>
      </c>
      <c r="J14" s="73">
        <v>4.8379666775697485</v>
      </c>
      <c r="K14" s="73">
        <v>2.3481689871080844</v>
      </c>
      <c r="L14" s="73">
        <v>5.2177300873192234</v>
      </c>
      <c r="M14" s="73">
        <v>4.2912624391655898</v>
      </c>
      <c r="N14" s="73">
        <v>3.6995076811762413</v>
      </c>
      <c r="O14" s="45"/>
      <c r="P14" s="73">
        <v>3.6897248652090329</v>
      </c>
      <c r="Q14" s="73">
        <v>4.2976512442522292</v>
      </c>
      <c r="R14" s="73">
        <v>4.6039410314731279</v>
      </c>
      <c r="S14" s="73">
        <v>3.6035258679537492</v>
      </c>
      <c r="T14" s="73">
        <v>4.7004652542993544</v>
      </c>
      <c r="U14" s="73">
        <v>3.2858126000050918</v>
      </c>
      <c r="V14" s="45"/>
      <c r="W14" s="73">
        <v>3.9784744225788415</v>
      </c>
      <c r="X14" s="59">
        <v>4.1405129918795254</v>
      </c>
      <c r="Y14" s="370"/>
      <c r="Z14" s="373"/>
      <c r="AA14" s="360"/>
      <c r="AB14" s="126">
        <f>(2/14)*100</f>
        <v>14.285714285714285</v>
      </c>
      <c r="AC14" s="357"/>
      <c r="AD14" s="358"/>
    </row>
    <row r="15" spans="1:30" s="14" customFormat="1" x14ac:dyDescent="0.2">
      <c r="A15" s="32" t="s">
        <v>6</v>
      </c>
      <c r="B15" s="43" t="s">
        <v>49</v>
      </c>
      <c r="C15" s="43" t="s">
        <v>52</v>
      </c>
      <c r="D15" s="100">
        <v>56</v>
      </c>
      <c r="E15" s="47">
        <v>10560</v>
      </c>
      <c r="F15" s="35">
        <v>500</v>
      </c>
      <c r="G15" s="44">
        <v>2.5</v>
      </c>
      <c r="H15" s="71">
        <v>5.0754792008332252</v>
      </c>
      <c r="I15" s="71">
        <v>4.2206599188889431</v>
      </c>
      <c r="J15" s="71">
        <v>3.9086220999731225</v>
      </c>
      <c r="K15" s="71">
        <v>3.7510386073798969</v>
      </c>
      <c r="L15" s="71">
        <v>5.6866999247099113</v>
      </c>
      <c r="M15" s="71">
        <v>3.9089817336019479</v>
      </c>
      <c r="N15" s="71">
        <v>4.7325565385471053</v>
      </c>
      <c r="O15" s="71">
        <v>3.9712550098883046</v>
      </c>
      <c r="P15" s="71">
        <v>4.5010515466484238</v>
      </c>
      <c r="Q15" s="71">
        <v>4.4750331646044872</v>
      </c>
      <c r="R15" s="71">
        <v>4.2964784289107518</v>
      </c>
      <c r="S15" s="71">
        <v>3.5452418516649997</v>
      </c>
      <c r="T15" s="71">
        <v>4.7802210866496679</v>
      </c>
      <c r="U15" s="71">
        <v>4.1465407833147365</v>
      </c>
      <c r="V15" s="71">
        <v>5.1509693954322584</v>
      </c>
      <c r="W15" s="71">
        <v>4.7148947417648213</v>
      </c>
      <c r="X15" s="59">
        <v>4.429107752050788</v>
      </c>
      <c r="Y15" s="375">
        <f>AVERAGE(H15:X17)</f>
        <v>4.466106387825497</v>
      </c>
      <c r="Z15" s="373"/>
      <c r="AA15" s="360"/>
      <c r="AB15" s="126">
        <f>(3/16)*100</f>
        <v>18.75</v>
      </c>
      <c r="AC15" s="357">
        <f>(7/48)*100</f>
        <v>14.583333333333334</v>
      </c>
      <c r="AD15" s="358"/>
    </row>
    <row r="16" spans="1:30" s="14" customFormat="1" x14ac:dyDescent="0.2">
      <c r="A16" s="37" t="s">
        <v>6</v>
      </c>
      <c r="B16" s="14" t="s">
        <v>49</v>
      </c>
      <c r="C16" s="14" t="s">
        <v>52</v>
      </c>
      <c r="D16" s="100">
        <v>56</v>
      </c>
      <c r="E16" s="12">
        <v>20560</v>
      </c>
      <c r="F16" s="12">
        <v>926</v>
      </c>
      <c r="G16" s="13">
        <v>5</v>
      </c>
      <c r="H16" s="72">
        <v>4.8952285238325697</v>
      </c>
      <c r="I16" s="72">
        <v>4.1355999344933405</v>
      </c>
      <c r="J16" s="72">
        <v>4.074526441071086</v>
      </c>
      <c r="K16" s="72">
        <v>3.6306656446285488</v>
      </c>
      <c r="L16" s="72">
        <v>5.8159722250706087</v>
      </c>
      <c r="M16" s="72">
        <v>3.8911232573096495</v>
      </c>
      <c r="N16" s="72">
        <v>4.3381383885546017</v>
      </c>
      <c r="O16" s="72">
        <v>4.3348668187657635</v>
      </c>
      <c r="P16" s="72">
        <v>4.6081574310991069</v>
      </c>
      <c r="Q16" s="72">
        <v>4.5487694520003741</v>
      </c>
      <c r="R16" s="72">
        <v>4.3371398464704187</v>
      </c>
      <c r="S16" s="72">
        <v>3.8408062273646832</v>
      </c>
      <c r="T16" s="72">
        <v>4.0526039204959803</v>
      </c>
      <c r="U16" s="72">
        <v>3.6963930195790606</v>
      </c>
      <c r="V16" s="72">
        <v>4.9966131106185765</v>
      </c>
      <c r="W16" s="72">
        <v>4.5052362050538317</v>
      </c>
      <c r="X16" s="59">
        <v>4.3563650279005133</v>
      </c>
      <c r="Y16" s="369"/>
      <c r="Z16" s="373"/>
      <c r="AA16" s="360"/>
      <c r="AB16" s="126">
        <f>(1/16)*100</f>
        <v>6.25</v>
      </c>
      <c r="AC16" s="357"/>
      <c r="AD16" s="358"/>
    </row>
    <row r="17" spans="1:30" s="14" customFormat="1" x14ac:dyDescent="0.2">
      <c r="A17" s="38" t="s">
        <v>6</v>
      </c>
      <c r="B17" s="45" t="s">
        <v>49</v>
      </c>
      <c r="C17" s="45" t="s">
        <v>52</v>
      </c>
      <c r="D17" s="102">
        <v>56</v>
      </c>
      <c r="E17" s="41">
        <v>30560</v>
      </c>
      <c r="F17" s="41">
        <v>3704</v>
      </c>
      <c r="G17" s="46">
        <v>16</v>
      </c>
      <c r="H17" s="73">
        <v>4.842481272650164</v>
      </c>
      <c r="I17" s="73">
        <v>4.4723402444439548</v>
      </c>
      <c r="J17" s="73">
        <v>3.9379108364271471</v>
      </c>
      <c r="K17" s="73">
        <v>3.514077974565792</v>
      </c>
      <c r="L17" s="73">
        <v>6.2152196078516493</v>
      </c>
      <c r="M17" s="73">
        <v>3.9678514136156449</v>
      </c>
      <c r="N17" s="73">
        <v>3.9311377805606349</v>
      </c>
      <c r="O17" s="73">
        <v>5.5731547129395951</v>
      </c>
      <c r="P17" s="73">
        <v>4.4137205355487632</v>
      </c>
      <c r="Q17" s="73">
        <v>4.6838951333915633</v>
      </c>
      <c r="R17" s="73">
        <v>4.7608772897482661</v>
      </c>
      <c r="S17" s="73">
        <v>4.039184785233207</v>
      </c>
      <c r="T17" s="73">
        <v>4.6799562360694633</v>
      </c>
      <c r="U17" s="73">
        <v>4.6646621439282701</v>
      </c>
      <c r="V17" s="73">
        <v>5.5541387789145871</v>
      </c>
      <c r="W17" s="73">
        <v>4.5549333905143818</v>
      </c>
      <c r="X17" s="59">
        <v>4.6128463835251923</v>
      </c>
      <c r="Y17" s="370"/>
      <c r="Z17" s="374"/>
      <c r="AA17" s="361"/>
      <c r="AB17" s="126">
        <f>(3/16)*100</f>
        <v>18.75</v>
      </c>
      <c r="AC17" s="357"/>
      <c r="AD17" s="358"/>
    </row>
    <row r="18" spans="1:30" s="14" customFormat="1" x14ac:dyDescent="0.2">
      <c r="A18" s="32" t="s">
        <v>6</v>
      </c>
      <c r="B18" s="43" t="s">
        <v>16</v>
      </c>
      <c r="C18" s="43" t="s">
        <v>53</v>
      </c>
      <c r="D18" s="100">
        <v>64</v>
      </c>
      <c r="E18" s="35">
        <v>10640</v>
      </c>
      <c r="F18" s="35">
        <v>500</v>
      </c>
      <c r="G18" s="44">
        <v>2.5</v>
      </c>
      <c r="H18" s="71">
        <v>6.1989565316458082</v>
      </c>
      <c r="I18" s="71">
        <v>4.7443572399477487</v>
      </c>
      <c r="J18" s="71">
        <v>5.404422994903566</v>
      </c>
      <c r="K18" s="71">
        <v>5.3211738918488951</v>
      </c>
      <c r="L18" s="71">
        <v>6.9571366085667714</v>
      </c>
      <c r="M18" s="71">
        <v>4.3191744030106554</v>
      </c>
      <c r="N18" s="71">
        <v>5.3245682883844099</v>
      </c>
      <c r="O18" s="71">
        <v>5.5137350237393026</v>
      </c>
      <c r="P18" s="71">
        <v>5.1184763107784574</v>
      </c>
      <c r="Q18" s="71">
        <v>4.969405914456714</v>
      </c>
      <c r="R18" s="71">
        <v>6.4338677922018217</v>
      </c>
      <c r="S18" s="71">
        <v>4.4403155852477161</v>
      </c>
      <c r="T18" s="71">
        <v>6.2707334843957252</v>
      </c>
      <c r="U18" s="71">
        <v>5.9009206487753065</v>
      </c>
      <c r="V18" s="43"/>
      <c r="W18" s="71">
        <v>5.3220776533191279</v>
      </c>
      <c r="X18" s="60">
        <v>5.4826214914148013</v>
      </c>
      <c r="Y18" s="376">
        <f>AVERAGE(H18:X20)</f>
        <v>5.3004725770548058</v>
      </c>
      <c r="Z18" s="353">
        <v>5.24</v>
      </c>
      <c r="AA18" s="359" t="s">
        <v>88</v>
      </c>
      <c r="AB18" s="126">
        <f>(11/15)*100</f>
        <v>73.333333333333329</v>
      </c>
      <c r="AC18" s="357">
        <f>(27/45)*100</f>
        <v>60</v>
      </c>
      <c r="AD18" s="358">
        <f>(55/93)*100</f>
        <v>59.13978494623656</v>
      </c>
    </row>
    <row r="19" spans="1:30" s="14" customFormat="1" x14ac:dyDescent="0.2">
      <c r="A19" s="37" t="s">
        <v>6</v>
      </c>
      <c r="B19" s="14" t="s">
        <v>16</v>
      </c>
      <c r="C19" s="14" t="s">
        <v>53</v>
      </c>
      <c r="D19" s="100">
        <v>64</v>
      </c>
      <c r="E19" s="12">
        <v>20640</v>
      </c>
      <c r="F19" s="12">
        <v>926</v>
      </c>
      <c r="G19" s="13">
        <v>9.5</v>
      </c>
      <c r="H19" s="72">
        <v>6.2072116408612477</v>
      </c>
      <c r="I19" s="72">
        <v>4.778325455549898</v>
      </c>
      <c r="J19" s="72">
        <v>5.1769666751934782</v>
      </c>
      <c r="K19" s="72">
        <v>4.6545568922786824</v>
      </c>
      <c r="L19" s="72">
        <v>6.5234128051710529</v>
      </c>
      <c r="M19" s="72">
        <v>4.2474462446283425</v>
      </c>
      <c r="N19" s="72">
        <v>5.6919134541292795</v>
      </c>
      <c r="O19" s="72">
        <v>6.2089911025008329</v>
      </c>
      <c r="P19" s="72">
        <v>5.9380890017147836</v>
      </c>
      <c r="Q19" s="72">
        <v>4.7524678577947412</v>
      </c>
      <c r="R19" s="72">
        <v>6.1623454100556776</v>
      </c>
      <c r="S19" s="72">
        <v>4.2556215682160605</v>
      </c>
      <c r="T19" s="72">
        <v>6.0948582217067786</v>
      </c>
      <c r="U19" s="72">
        <v>5.8026434851913455</v>
      </c>
      <c r="W19" s="72">
        <v>5.4721713570500281</v>
      </c>
      <c r="X19" s="60">
        <v>5.4644680781361483</v>
      </c>
      <c r="Y19" s="366"/>
      <c r="Z19" s="354"/>
      <c r="AA19" s="360"/>
      <c r="AB19" s="126">
        <f>(10/15)*100</f>
        <v>66.666666666666657</v>
      </c>
      <c r="AC19" s="357"/>
      <c r="AD19" s="358"/>
    </row>
    <row r="20" spans="1:30" s="14" customFormat="1" x14ac:dyDescent="0.2">
      <c r="A20" s="38" t="s">
        <v>6</v>
      </c>
      <c r="B20" s="45" t="s">
        <v>16</v>
      </c>
      <c r="C20" s="45" t="s">
        <v>53</v>
      </c>
      <c r="D20" s="102">
        <v>64</v>
      </c>
      <c r="E20" s="41">
        <v>30640</v>
      </c>
      <c r="F20" s="41">
        <v>3704</v>
      </c>
      <c r="G20" s="46">
        <v>19</v>
      </c>
      <c r="H20" s="73">
        <v>6.5076805887241767</v>
      </c>
      <c r="I20" s="73">
        <v>4.918843139262842</v>
      </c>
      <c r="J20" s="73">
        <v>3.9098840852371408</v>
      </c>
      <c r="K20" s="73">
        <v>3.0400959643144487</v>
      </c>
      <c r="L20" s="73">
        <v>6.7332186632154922</v>
      </c>
      <c r="M20" s="73">
        <v>4.8399880668277175</v>
      </c>
      <c r="N20" s="73">
        <v>3.5198690285525767</v>
      </c>
      <c r="O20" s="73">
        <v>6.4847693998610891</v>
      </c>
      <c r="P20" s="73">
        <v>4.9057425556772163</v>
      </c>
      <c r="Q20" s="73">
        <v>5.3239784567016857</v>
      </c>
      <c r="R20" s="73">
        <v>5.5831083502883478</v>
      </c>
      <c r="S20" s="73">
        <v>4.6743337885424951</v>
      </c>
      <c r="T20" s="73">
        <v>4.399815937417868</v>
      </c>
      <c r="U20" s="73">
        <v>5.1706435000991151</v>
      </c>
      <c r="V20" s="45"/>
      <c r="W20" s="73">
        <v>4.3029508994798435</v>
      </c>
      <c r="X20" s="59">
        <v>4.9543281616134704</v>
      </c>
      <c r="Y20" s="367"/>
      <c r="Z20" s="354"/>
      <c r="AA20" s="360"/>
      <c r="AB20" s="126">
        <f>(6/15)*100</f>
        <v>40</v>
      </c>
      <c r="AC20" s="357"/>
      <c r="AD20" s="358"/>
    </row>
    <row r="21" spans="1:30" s="14" customFormat="1" x14ac:dyDescent="0.2">
      <c r="A21" s="32" t="s">
        <v>19</v>
      </c>
      <c r="B21" s="43" t="s">
        <v>20</v>
      </c>
      <c r="C21" s="43" t="s">
        <v>54</v>
      </c>
      <c r="D21" s="100">
        <v>72</v>
      </c>
      <c r="E21" s="35">
        <v>10720</v>
      </c>
      <c r="F21" s="35">
        <v>500</v>
      </c>
      <c r="G21" s="44">
        <v>2</v>
      </c>
      <c r="H21" s="71">
        <v>5.8510209374725042</v>
      </c>
      <c r="I21" s="71">
        <v>4.4737090066917382</v>
      </c>
      <c r="J21" s="71">
        <v>6.1013110996042617</v>
      </c>
      <c r="K21" s="71">
        <v>5.2072829804194711</v>
      </c>
      <c r="L21" s="71">
        <v>7.4295029082622079</v>
      </c>
      <c r="M21" s="71">
        <v>4.4593950215460252</v>
      </c>
      <c r="N21" s="71">
        <v>5.8499472815750577</v>
      </c>
      <c r="O21" s="71">
        <v>5.3618276412343828</v>
      </c>
      <c r="P21" s="71">
        <v>3.7145685158806039</v>
      </c>
      <c r="Q21" s="71">
        <v>5.075890587471128</v>
      </c>
      <c r="R21" s="71">
        <v>5.2063663343671234</v>
      </c>
      <c r="S21" s="71">
        <v>3.7304041416243701</v>
      </c>
      <c r="T21" s="71">
        <v>5.3871006876479068</v>
      </c>
      <c r="U21" s="71">
        <v>4.7407919897484794</v>
      </c>
      <c r="V21" s="71">
        <v>5.505191056529843</v>
      </c>
      <c r="W21" s="71">
        <v>4.711725340399223</v>
      </c>
      <c r="X21" s="60">
        <v>5.1753772206546449</v>
      </c>
      <c r="Y21" s="376">
        <f>AVERAGE(H21:X23)</f>
        <v>5.1835475608961836</v>
      </c>
      <c r="Z21" s="354"/>
      <c r="AA21" s="360"/>
      <c r="AB21" s="126">
        <f>(10/16)*100</f>
        <v>62.5</v>
      </c>
      <c r="AC21" s="357">
        <f>(28/48)*100</f>
        <v>58.333333333333336</v>
      </c>
      <c r="AD21" s="358"/>
    </row>
    <row r="22" spans="1:30" s="14" customFormat="1" x14ac:dyDescent="0.2">
      <c r="A22" s="37" t="s">
        <v>19</v>
      </c>
      <c r="B22" s="14" t="s">
        <v>20</v>
      </c>
      <c r="C22" s="14" t="s">
        <v>54</v>
      </c>
      <c r="D22" s="100">
        <v>72</v>
      </c>
      <c r="E22" s="12">
        <v>20720</v>
      </c>
      <c r="F22" s="12">
        <v>926</v>
      </c>
      <c r="G22" s="13">
        <v>3.5</v>
      </c>
      <c r="H22" s="72">
        <v>6.2111027498632732</v>
      </c>
      <c r="I22" s="72">
        <v>4.6746031633564602</v>
      </c>
      <c r="J22" s="72">
        <v>6.0773646841730065</v>
      </c>
      <c r="K22" s="72">
        <v>5.8341545334417759</v>
      </c>
      <c r="L22" s="72">
        <v>7.4384127290269522</v>
      </c>
      <c r="M22" s="72">
        <v>4.3821196438074574</v>
      </c>
      <c r="N22" s="72">
        <v>5.7511986591652589</v>
      </c>
      <c r="O22" s="72">
        <v>5.9811701825659149</v>
      </c>
      <c r="P22" s="72">
        <v>3.3060266486562706</v>
      </c>
      <c r="Q22" s="72">
        <v>4.7901131069628837</v>
      </c>
      <c r="R22" s="72">
        <v>5.4163795565423269</v>
      </c>
      <c r="S22" s="72">
        <v>3.7203349801971486</v>
      </c>
      <c r="T22" s="72">
        <v>4.8636077101556987</v>
      </c>
      <c r="U22" s="72">
        <v>5.3196584858697991</v>
      </c>
      <c r="V22" s="72">
        <v>6.8255674122560617</v>
      </c>
      <c r="W22" s="72">
        <v>5.0570106643038288</v>
      </c>
      <c r="X22" s="60">
        <v>5.3530515568965074</v>
      </c>
      <c r="Y22" s="366"/>
      <c r="Z22" s="354"/>
      <c r="AA22" s="360"/>
      <c r="AB22" s="126">
        <f>(10/16)*100</f>
        <v>62.5</v>
      </c>
      <c r="AC22" s="357"/>
      <c r="AD22" s="358"/>
    </row>
    <row r="23" spans="1:30" x14ac:dyDescent="0.2">
      <c r="A23" s="38" t="s">
        <v>19</v>
      </c>
      <c r="B23" s="45" t="s">
        <v>20</v>
      </c>
      <c r="C23" s="45" t="s">
        <v>54</v>
      </c>
      <c r="D23" s="102">
        <v>72</v>
      </c>
      <c r="E23" s="41">
        <v>30720</v>
      </c>
      <c r="F23" s="41">
        <v>3704</v>
      </c>
      <c r="G23" s="46">
        <v>13.5</v>
      </c>
      <c r="H23" s="73">
        <v>6.1520584315377231</v>
      </c>
      <c r="I23" s="73">
        <v>4.46525872329625</v>
      </c>
      <c r="J23" s="73">
        <v>4.9566673718078915</v>
      </c>
      <c r="K23" s="73">
        <v>4.8490472060556264</v>
      </c>
      <c r="L23" s="73">
        <v>6.7845888848856308</v>
      </c>
      <c r="M23" s="73">
        <v>4.1478608052221757</v>
      </c>
      <c r="N23" s="73">
        <v>3.9879028563811003</v>
      </c>
      <c r="O23" s="73">
        <v>6.013290372622385</v>
      </c>
      <c r="P23" s="73">
        <v>3.9002163329082351</v>
      </c>
      <c r="Q23" s="73">
        <v>5.0963560941743449</v>
      </c>
      <c r="R23" s="73">
        <v>5.429503837624476</v>
      </c>
      <c r="S23" s="73">
        <v>3.4949126711981582</v>
      </c>
      <c r="T23" s="73">
        <v>4.7496776182730134</v>
      </c>
      <c r="U23" s="73">
        <v>5.4458790514992437</v>
      </c>
      <c r="V23" s="73">
        <v>5.6751470902425725</v>
      </c>
      <c r="W23" s="73">
        <v>5.207055134469611</v>
      </c>
      <c r="X23" s="60">
        <v>5.0222139051374031</v>
      </c>
      <c r="Y23" s="367"/>
      <c r="Z23" s="355"/>
      <c r="AA23" s="361"/>
      <c r="AB23" s="126">
        <f>(8/16)*100</f>
        <v>50</v>
      </c>
      <c r="AC23" s="357"/>
      <c r="AD23" s="358"/>
    </row>
    <row r="24" spans="1:30" ht="12.75" customHeight="1" x14ac:dyDescent="0.2">
      <c r="A24" s="32" t="s">
        <v>19</v>
      </c>
      <c r="B24" s="33" t="s">
        <v>24</v>
      </c>
      <c r="C24" s="33" t="s">
        <v>25</v>
      </c>
      <c r="D24" s="100">
        <v>601</v>
      </c>
      <c r="E24" s="34">
        <v>16010</v>
      </c>
      <c r="F24" s="35">
        <v>500</v>
      </c>
      <c r="G24" s="36">
        <v>5</v>
      </c>
      <c r="H24" s="71">
        <v>6.1004980393465447</v>
      </c>
      <c r="I24" s="71">
        <v>5.0848560681510815</v>
      </c>
      <c r="J24" s="71">
        <v>6.7280234180806504</v>
      </c>
      <c r="K24" s="71">
        <v>6.2059513874563157</v>
      </c>
      <c r="L24" s="71">
        <v>6.7617667236314762</v>
      </c>
      <c r="M24" s="71">
        <v>3.7024757254552418</v>
      </c>
      <c r="N24" s="71">
        <v>5.7930589254605813</v>
      </c>
      <c r="O24" s="71">
        <v>6.6818993703751897</v>
      </c>
      <c r="P24" s="71">
        <v>4.8874337779720181</v>
      </c>
      <c r="Q24" s="71">
        <v>5.0481834429068106</v>
      </c>
      <c r="R24" s="71">
        <v>5.3886995343266761</v>
      </c>
      <c r="S24" s="71">
        <v>4.8143960338846021</v>
      </c>
      <c r="T24" s="71">
        <v>5.1409176205285352</v>
      </c>
      <c r="U24" s="71">
        <v>6.4042175183919561</v>
      </c>
      <c r="V24" s="33"/>
      <c r="W24" s="71">
        <v>7.0822040012512506</v>
      </c>
      <c r="X24" s="60">
        <v>5.7216387724812625</v>
      </c>
      <c r="Y24" s="376">
        <f>AVERAGE(H24:X26)</f>
        <v>5.5074554287499886</v>
      </c>
      <c r="Z24" s="356">
        <v>5.51</v>
      </c>
      <c r="AA24" s="362" t="s">
        <v>87</v>
      </c>
      <c r="AB24" s="126">
        <f>(12/15)*100</f>
        <v>80</v>
      </c>
      <c r="AC24" s="357">
        <f>(32/45)*100</f>
        <v>71.111111111111114</v>
      </c>
      <c r="AD24" s="358">
        <f>(32/45)*100</f>
        <v>71.111111111111114</v>
      </c>
    </row>
    <row r="25" spans="1:30" ht="12.75" customHeight="1" x14ac:dyDescent="0.2">
      <c r="A25" s="37" t="s">
        <v>19</v>
      </c>
      <c r="B25" s="15" t="s">
        <v>24</v>
      </c>
      <c r="C25" s="15" t="s">
        <v>25</v>
      </c>
      <c r="D25" s="100">
        <v>601</v>
      </c>
      <c r="E25" s="11">
        <v>26010</v>
      </c>
      <c r="F25" s="12">
        <v>926</v>
      </c>
      <c r="G25" s="9">
        <v>16</v>
      </c>
      <c r="H25" s="72">
        <v>6.1982415308441654</v>
      </c>
      <c r="I25" s="72">
        <v>5.6814377173622015</v>
      </c>
      <c r="J25" s="72">
        <v>6.0751385715581492</v>
      </c>
      <c r="K25" s="72">
        <v>6.4638362543268126</v>
      </c>
      <c r="L25" s="72">
        <v>6.5019577098361694</v>
      </c>
      <c r="M25" s="72">
        <v>4.0474519670497688</v>
      </c>
      <c r="N25" s="72">
        <v>5.2803018201066063</v>
      </c>
      <c r="O25" s="72">
        <v>6.4698953058615594</v>
      </c>
      <c r="P25" s="72">
        <v>5.6285497772041415</v>
      </c>
      <c r="Q25" s="72">
        <v>4.2723583333971744</v>
      </c>
      <c r="R25" s="72">
        <v>5.5284103932108781</v>
      </c>
      <c r="S25" s="72">
        <v>3.8678896401122373</v>
      </c>
      <c r="T25" s="72">
        <v>6.0038489254530241</v>
      </c>
      <c r="U25" s="72">
        <v>5.8128596449424004</v>
      </c>
      <c r="W25" s="72">
        <v>5.9951352200673682</v>
      </c>
      <c r="X25" s="60">
        <v>5.5884875207555105</v>
      </c>
      <c r="Y25" s="366"/>
      <c r="Z25" s="356"/>
      <c r="AA25" s="363"/>
      <c r="AB25" s="126">
        <f>(12/15)*100</f>
        <v>80</v>
      </c>
      <c r="AC25" s="357"/>
      <c r="AD25" s="358"/>
    </row>
    <row r="26" spans="1:30" ht="12.75" customHeight="1" x14ac:dyDescent="0.2">
      <c r="A26" s="38" t="s">
        <v>19</v>
      </c>
      <c r="B26" s="39" t="s">
        <v>24</v>
      </c>
      <c r="C26" s="39" t="s">
        <v>25</v>
      </c>
      <c r="D26" s="102">
        <v>601</v>
      </c>
      <c r="E26" s="40">
        <v>36010</v>
      </c>
      <c r="F26" s="41">
        <v>3704</v>
      </c>
      <c r="G26" s="42">
        <v>27</v>
      </c>
      <c r="H26" s="73">
        <v>5.7956145984176013</v>
      </c>
      <c r="I26" s="73">
        <v>4.1859233992199654</v>
      </c>
      <c r="J26" s="73">
        <v>4.586163853397232</v>
      </c>
      <c r="K26" s="73">
        <v>5.8997787006641902</v>
      </c>
      <c r="L26" s="73">
        <v>6.8624450291054497</v>
      </c>
      <c r="M26" s="73">
        <v>4.4708302184819555</v>
      </c>
      <c r="N26" s="73">
        <v>5.4343376530142793</v>
      </c>
      <c r="O26" s="73">
        <v>4.7067594040672018</v>
      </c>
      <c r="P26" s="73">
        <v>4.8883393208015216</v>
      </c>
      <c r="Q26" s="73">
        <v>4.8276210863612103</v>
      </c>
      <c r="R26" s="73">
        <v>5.7078719270419764</v>
      </c>
      <c r="S26" s="73">
        <v>4.1410007184305453</v>
      </c>
      <c r="T26" s="73">
        <v>5.3438286285314849</v>
      </c>
      <c r="U26" s="73">
        <v>5.6516542757542156</v>
      </c>
      <c r="V26" s="39"/>
      <c r="W26" s="73">
        <v>5.6814310819090084</v>
      </c>
      <c r="X26" s="60">
        <v>5.2122399930131893</v>
      </c>
      <c r="Y26" s="367"/>
      <c r="Z26" s="356"/>
      <c r="AA26" s="364"/>
      <c r="AB26" s="126">
        <f>(8/15)*100</f>
        <v>53.333333333333336</v>
      </c>
      <c r="AC26" s="357"/>
      <c r="AD26" s="358"/>
    </row>
    <row r="27" spans="1:30" ht="26.25" customHeight="1" x14ac:dyDescent="0.2">
      <c r="D27" s="100"/>
      <c r="Y27" s="128"/>
      <c r="Z27" s="352" t="s">
        <v>86</v>
      </c>
      <c r="AA27" s="352"/>
      <c r="AB27" s="352"/>
      <c r="AC27" s="352"/>
      <c r="AD27" s="352"/>
    </row>
    <row r="28" spans="1:30" x14ac:dyDescent="0.2">
      <c r="D28" s="100"/>
    </row>
    <row r="29" spans="1:30" x14ac:dyDescent="0.2">
      <c r="D29" s="100"/>
      <c r="W29" s="127"/>
    </row>
    <row r="30" spans="1:30" x14ac:dyDescent="0.2">
      <c r="W30" s="127"/>
    </row>
    <row r="31" spans="1:30" x14ac:dyDescent="0.2">
      <c r="W31" s="127"/>
    </row>
    <row r="33" spans="2:23" x14ac:dyDescent="0.2">
      <c r="B33" s="5"/>
      <c r="D33" s="100"/>
      <c r="W33" s="127"/>
    </row>
    <row r="34" spans="2:23" x14ac:dyDescent="0.2">
      <c r="B34" s="5"/>
      <c r="D34" s="100"/>
      <c r="W34" s="127"/>
    </row>
    <row r="35" spans="2:23" x14ac:dyDescent="0.2">
      <c r="B35" s="5"/>
      <c r="D35" s="100"/>
      <c r="W35" s="127"/>
    </row>
    <row r="36" spans="2:23" x14ac:dyDescent="0.2">
      <c r="B36" s="5"/>
      <c r="D36" s="100"/>
      <c r="W36" s="127"/>
    </row>
    <row r="37" spans="2:23" x14ac:dyDescent="0.2">
      <c r="B37" s="5"/>
      <c r="D37" s="100"/>
      <c r="W37" s="127"/>
    </row>
    <row r="38" spans="2:23" x14ac:dyDescent="0.2">
      <c r="B38" s="5"/>
      <c r="D38" s="100"/>
      <c r="W38" s="127"/>
    </row>
    <row r="39" spans="2:23" x14ac:dyDescent="0.2">
      <c r="W39" s="127"/>
    </row>
    <row r="40" spans="2:23" x14ac:dyDescent="0.2">
      <c r="W40" s="127"/>
    </row>
  </sheetData>
  <mergeCells count="31">
    <mergeCell ref="Z27:AD27"/>
    <mergeCell ref="Z12:Z17"/>
    <mergeCell ref="Z18:Z23"/>
    <mergeCell ref="Z24:Z26"/>
    <mergeCell ref="AD18:AD23"/>
    <mergeCell ref="AD12:AD17"/>
    <mergeCell ref="AD24:AD26"/>
    <mergeCell ref="AC21:AC23"/>
    <mergeCell ref="AA18:AA23"/>
    <mergeCell ref="AA24:AA26"/>
    <mergeCell ref="AC15:AC17"/>
    <mergeCell ref="Y12:Y14"/>
    <mergeCell ref="Y15:Y17"/>
    <mergeCell ref="Y3:Y5"/>
    <mergeCell ref="Y24:Y26"/>
    <mergeCell ref="AA12:AA17"/>
    <mergeCell ref="AC12:AC14"/>
    <mergeCell ref="Y18:Y20"/>
    <mergeCell ref="Y21:Y23"/>
    <mergeCell ref="AC24:AC26"/>
    <mergeCell ref="AC18:AC20"/>
    <mergeCell ref="AB1:AD1"/>
    <mergeCell ref="X1:Z1"/>
    <mergeCell ref="AC3:AC5"/>
    <mergeCell ref="AD3:AD11"/>
    <mergeCell ref="AC6:AC8"/>
    <mergeCell ref="Y6:Y8"/>
    <mergeCell ref="AA3:AA11"/>
    <mergeCell ref="AC9:AC11"/>
    <mergeCell ref="Y9:Y11"/>
    <mergeCell ref="Z3:Z11"/>
  </mergeCells>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30</vt:i4>
      </vt:variant>
    </vt:vector>
  </HeadingPairs>
  <TitlesOfParts>
    <vt:vector size="30" baseType="lpstr">
      <vt:lpstr>1997</vt:lpstr>
      <vt:lpstr>1998</vt:lpstr>
      <vt:lpstr>1999</vt:lpstr>
      <vt:lpstr>2000</vt:lpstr>
      <vt:lpstr>2001</vt: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lpstr>NOTE</vt:lpstr>
      <vt:lpstr>tabella descrizione corpi idric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Rita</dc:creator>
  <cp:lastModifiedBy>Anna Rita Zogno</cp:lastModifiedBy>
  <dcterms:created xsi:type="dcterms:W3CDTF">2006-06-24T15:52:42Z</dcterms:created>
  <dcterms:modified xsi:type="dcterms:W3CDTF">2025-01-15T12:24:00Z</dcterms:modified>
</cp:coreProperties>
</file>